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2.15\gefoserveur\A2 Formation Education Interventions\TH 377 FAP - Toits d'abord\Moulinette FAP\2.Evolutions Moulinette\"/>
    </mc:Choice>
  </mc:AlternateContent>
  <bookViews>
    <workbookView xWindow="0" yWindow="0" windowWidth="20490" windowHeight="7755" tabRatio="500"/>
  </bookViews>
  <sheets>
    <sheet name="Accueil" sheetId="1" r:id="rId1"/>
    <sheet name="Saisie maison" sheetId="2" r:id="rId2"/>
    <sheet name="Résultat maison" sheetId="3" r:id="rId3"/>
    <sheet name="élts calculs lgt ind" sheetId="4" state="hidden" r:id="rId4"/>
    <sheet name="Saisie immeuble" sheetId="5" r:id="rId5"/>
    <sheet name="Résultat immeuble" sheetId="6" r:id="rId6"/>
    <sheet name="Feuil1" sheetId="7" state="hidden" r:id="rId7"/>
    <sheet name="Cheque Energie" sheetId="8" state="hidden" r:id="rId8"/>
    <sheet name="Ressources" sheetId="9" state="hidden" r:id="rId9"/>
    <sheet name="Référence&amp;tarifs" sheetId="10" state="hidden" r:id="rId10"/>
    <sheet name="FAQ Excel" sheetId="11" state="hidden" r:id="rId11"/>
  </sheets>
  <definedNames>
    <definedName name="annee">Feuil1!$C$5:$C$6</definedName>
    <definedName name="cuisson">'élts calculs lgt ind'!$AC$40:$AC$42</definedName>
    <definedName name="cuisson2">Feuil1!$B$71:$B$72</definedName>
    <definedName name="mitoyennete">'élts calculs lgt ind'!$AC$32:$AC$34</definedName>
    <definedName name="naturerevenu">'élts calculs lgt ind'!$AI$23:$AI$27</definedName>
    <definedName name="oui">Feuil1!$B$75:$B$76</definedName>
    <definedName name="position">Feuil1!$D$73:$D$75</definedName>
    <definedName name="typechauffage">'élts calculs lgt ind'!$AN$37:$AN$54</definedName>
    <definedName name="typedelogement">'élts calculs lgt ind'!$AC$29:$AC$30</definedName>
    <definedName name="typeecs">'élts calculs lgt ind'!$AX$21:$AX$34</definedName>
    <definedName name="typeiso">'élts calculs lgt ind'!$AC$23:$AC$24</definedName>
    <definedName name="typereno">'élts calculs lgt ind'!$AC$26:$AC$27</definedName>
    <definedName name="ventilation">'élts calculs lgt ind'!$AC$36:$AC$38</definedName>
    <definedName name="VILLE">'élts calculs lgt ind'!$A$6:$A$67</definedName>
    <definedName name="_xlnm.Print_Area" localSheetId="0">Accueil!$A$1:$R$38</definedName>
    <definedName name="_xlnm.Print_Area" localSheetId="5">'Résultat immeuble'!$A$2:$X$39</definedName>
    <definedName name="_xlnm.Print_Area" localSheetId="2">'Résultat maison'!$A$2:$W$37</definedName>
    <definedName name="_xlnm.Print_Area" localSheetId="4">'Saisie immeuble'!$A$1:$V$19</definedName>
    <definedName name="_xlnm.Print_Area" localSheetId="1">'Saisie maison'!$A$1:$U$49</definedName>
  </definedNames>
  <calcPr calcId="15251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E8" i="9" l="1"/>
  <c r="F4" i="9"/>
  <c r="G4" i="9"/>
  <c r="H4" i="9"/>
  <c r="I4" i="9"/>
  <c r="J4" i="9"/>
  <c r="F3" i="9"/>
  <c r="G3" i="9"/>
  <c r="H3" i="9"/>
  <c r="I3" i="9"/>
  <c r="J3" i="9"/>
  <c r="E4" i="9"/>
  <c r="E3" i="9"/>
  <c r="G8" i="9"/>
  <c r="H8" i="9"/>
  <c r="I8" i="9"/>
  <c r="F8" i="9"/>
  <c r="B7" i="9"/>
  <c r="B6" i="9"/>
  <c r="B5" i="9"/>
  <c r="C29" i="8" s="1"/>
  <c r="C4" i="9"/>
  <c r="B4" i="9"/>
  <c r="D33" i="8"/>
  <c r="C33" i="8"/>
  <c r="B33" i="8"/>
  <c r="A33" i="8"/>
  <c r="D32" i="8"/>
  <c r="C32" i="8"/>
  <c r="E32" i="8" s="1"/>
  <c r="F32" i="8" s="1"/>
  <c r="G32" i="8" s="1"/>
  <c r="R13" i="6" s="1"/>
  <c r="S13" i="6" s="1"/>
  <c r="B32" i="8"/>
  <c r="A32" i="8"/>
  <c r="D31" i="8"/>
  <c r="C31" i="8"/>
  <c r="E31" i="8" s="1"/>
  <c r="F31" i="8" s="1"/>
  <c r="G31" i="8" s="1"/>
  <c r="R12" i="6" s="1"/>
  <c r="S12" i="6" s="1"/>
  <c r="B31" i="8"/>
  <c r="A31" i="8"/>
  <c r="D30" i="8"/>
  <c r="C30" i="8"/>
  <c r="B30" i="8"/>
  <c r="A30" i="8"/>
  <c r="D29" i="8"/>
  <c r="B29" i="8"/>
  <c r="A29" i="8"/>
  <c r="D28" i="8"/>
  <c r="C28" i="8"/>
  <c r="E28" i="8" s="1"/>
  <c r="F28" i="8" s="1"/>
  <c r="G28" i="8" s="1"/>
  <c r="U15" i="5" s="1"/>
  <c r="B28" i="8"/>
  <c r="A28" i="8"/>
  <c r="D27" i="8"/>
  <c r="C27" i="8"/>
  <c r="E27" i="8" s="1"/>
  <c r="F27" i="8" s="1"/>
  <c r="G27" i="8" s="1"/>
  <c r="B27" i="8"/>
  <c r="A27" i="8"/>
  <c r="D26" i="8"/>
  <c r="C26" i="8"/>
  <c r="B26" i="8"/>
  <c r="A26" i="8"/>
  <c r="D25" i="8"/>
  <c r="B25" i="8"/>
  <c r="A25" i="8"/>
  <c r="D24" i="8"/>
  <c r="C24" i="8"/>
  <c r="B24" i="8"/>
  <c r="A24" i="8"/>
  <c r="D20" i="8"/>
  <c r="C20" i="8"/>
  <c r="B20" i="8"/>
  <c r="A20" i="8"/>
  <c r="D19" i="8"/>
  <c r="E19" i="8" s="1"/>
  <c r="F19" i="8" s="1"/>
  <c r="G19" i="8" s="1"/>
  <c r="C19" i="8"/>
  <c r="B19" i="8"/>
  <c r="A19" i="8"/>
  <c r="D18" i="8"/>
  <c r="E18" i="8" s="1"/>
  <c r="F18" i="8" s="1"/>
  <c r="G18" i="8" s="1"/>
  <c r="T15" i="2" s="1"/>
  <c r="C18" i="8"/>
  <c r="B18" i="8"/>
  <c r="A18" i="8"/>
  <c r="D17" i="8"/>
  <c r="C17" i="8"/>
  <c r="B17" i="8"/>
  <c r="A17" i="8"/>
  <c r="D16" i="8"/>
  <c r="B16" i="8"/>
  <c r="A16" i="8"/>
  <c r="T70" i="7"/>
  <c r="T69" i="7"/>
  <c r="T68" i="7"/>
  <c r="T67" i="7"/>
  <c r="T61" i="7"/>
  <c r="T60" i="7"/>
  <c r="T59" i="7"/>
  <c r="T58" i="7"/>
  <c r="AW53" i="7"/>
  <c r="AU53" i="7" s="1"/>
  <c r="AV53" i="7"/>
  <c r="AT53" i="7"/>
  <c r="AQ53" i="7"/>
  <c r="AP53" i="7"/>
  <c r="AO53" i="7"/>
  <c r="AN53" i="7"/>
  <c r="AR53" i="7" s="1"/>
  <c r="AS53" i="7" s="1"/>
  <c r="AM53" i="7"/>
  <c r="AK53" i="7"/>
  <c r="AL53" i="7" s="1"/>
  <c r="AJ53" i="7"/>
  <c r="AH53" i="7"/>
  <c r="AI53" i="7" s="1"/>
  <c r="AD53" i="7"/>
  <c r="S53" i="7"/>
  <c r="R53" i="7"/>
  <c r="Y53" i="7" s="1"/>
  <c r="Z53" i="7" s="1"/>
  <c r="M53" i="7"/>
  <c r="L53" i="7"/>
  <c r="K53" i="7"/>
  <c r="H53" i="7"/>
  <c r="E53" i="7"/>
  <c r="I53" i="7" s="1"/>
  <c r="D53" i="7"/>
  <c r="C53" i="7"/>
  <c r="AW52" i="7"/>
  <c r="AU52" i="7" s="1"/>
  <c r="AV52" i="7"/>
  <c r="AT52" i="7"/>
  <c r="AQ52" i="7"/>
  <c r="AP52" i="7"/>
  <c r="AO52" i="7"/>
  <c r="AN52" i="7"/>
  <c r="AR52" i="7" s="1"/>
  <c r="AS52" i="7" s="1"/>
  <c r="AM52" i="7"/>
  <c r="AK52" i="7"/>
  <c r="AL52" i="7" s="1"/>
  <c r="AJ52" i="7"/>
  <c r="AH52" i="7"/>
  <c r="AD52" i="7"/>
  <c r="S52" i="7"/>
  <c r="R52" i="7"/>
  <c r="AI52" i="7" s="1"/>
  <c r="M52" i="7"/>
  <c r="L52" i="7"/>
  <c r="K52" i="7"/>
  <c r="J52" i="7"/>
  <c r="H52" i="7"/>
  <c r="F52" i="7"/>
  <c r="E52" i="7"/>
  <c r="I52" i="7" s="1"/>
  <c r="N52" i="7" s="1"/>
  <c r="D52" i="7"/>
  <c r="C52" i="7"/>
  <c r="AW51" i="7"/>
  <c r="AU51" i="7" s="1"/>
  <c r="AV51" i="7"/>
  <c r="AT51" i="7"/>
  <c r="AQ51" i="7"/>
  <c r="AP51" i="7"/>
  <c r="AO51" i="7"/>
  <c r="AN51" i="7"/>
  <c r="AR51" i="7" s="1"/>
  <c r="AS51" i="7" s="1"/>
  <c r="AM51" i="7"/>
  <c r="AL51" i="7"/>
  <c r="AK51" i="7"/>
  <c r="AJ51" i="7"/>
  <c r="AH51" i="7"/>
  <c r="AI51" i="7" s="1"/>
  <c r="AD51" i="7"/>
  <c r="S51" i="7"/>
  <c r="R51" i="7"/>
  <c r="Y51" i="7" s="1"/>
  <c r="Z51" i="7" s="1"/>
  <c r="M51" i="7"/>
  <c r="L51" i="7"/>
  <c r="K51" i="7"/>
  <c r="H51" i="7"/>
  <c r="G51" i="7"/>
  <c r="E51" i="7"/>
  <c r="C51" i="7"/>
  <c r="D51" i="7" s="1"/>
  <c r="AW50" i="7"/>
  <c r="AV50" i="7"/>
  <c r="AU50" i="7"/>
  <c r="AT50" i="7"/>
  <c r="AX50" i="7" s="1"/>
  <c r="AQ50" i="7"/>
  <c r="AP50" i="7"/>
  <c r="AO50" i="7"/>
  <c r="AN50" i="7"/>
  <c r="AR50" i="7" s="1"/>
  <c r="AS50" i="7" s="1"/>
  <c r="AM50" i="7"/>
  <c r="AK50" i="7"/>
  <c r="AL50" i="7" s="1"/>
  <c r="AJ50" i="7"/>
  <c r="AI50" i="7"/>
  <c r="AH50" i="7"/>
  <c r="AD50" i="7"/>
  <c r="Z50" i="7"/>
  <c r="Y50" i="7"/>
  <c r="U50" i="7"/>
  <c r="T50" i="7"/>
  <c r="X50" i="7" s="1"/>
  <c r="S50" i="7"/>
  <c r="R50" i="7"/>
  <c r="M50" i="7"/>
  <c r="L50" i="7"/>
  <c r="K50" i="7"/>
  <c r="H50" i="7"/>
  <c r="E50" i="7"/>
  <c r="D50" i="7"/>
  <c r="C50" i="7"/>
  <c r="AW49" i="7"/>
  <c r="AU49" i="7" s="1"/>
  <c r="AV49" i="7"/>
  <c r="AT49" i="7"/>
  <c r="AQ49" i="7"/>
  <c r="AP49" i="7"/>
  <c r="AO49" i="7"/>
  <c r="AN49" i="7"/>
  <c r="AR49" i="7" s="1"/>
  <c r="AM49" i="7"/>
  <c r="AK49" i="7"/>
  <c r="AL49" i="7" s="1"/>
  <c r="AJ49" i="7"/>
  <c r="AH49" i="7"/>
  <c r="AD49" i="7"/>
  <c r="S49" i="7"/>
  <c r="R49" i="7"/>
  <c r="M49" i="7"/>
  <c r="L49" i="7"/>
  <c r="K49" i="7"/>
  <c r="H49" i="7"/>
  <c r="F49" i="7"/>
  <c r="E49" i="7"/>
  <c r="I49" i="7" s="1"/>
  <c r="C49" i="7"/>
  <c r="D49" i="7" s="1"/>
  <c r="AW48" i="7"/>
  <c r="AU48" i="7" s="1"/>
  <c r="AX48" i="7" s="1"/>
  <c r="AV48" i="7"/>
  <c r="AT48" i="7"/>
  <c r="AQ48" i="7"/>
  <c r="AP48" i="7"/>
  <c r="AO48" i="7"/>
  <c r="AN48" i="7"/>
  <c r="AM48" i="7"/>
  <c r="AL48" i="7"/>
  <c r="AK48" i="7"/>
  <c r="AJ48" i="7"/>
  <c r="AH48" i="7"/>
  <c r="AD48" i="7"/>
  <c r="S48" i="7"/>
  <c r="R48" i="7"/>
  <c r="M48" i="7"/>
  <c r="L48" i="7"/>
  <c r="K48" i="7"/>
  <c r="H48" i="7"/>
  <c r="G48" i="7"/>
  <c r="F48" i="7"/>
  <c r="E48" i="7"/>
  <c r="C48" i="7"/>
  <c r="D48" i="7" s="1"/>
  <c r="AW47" i="7"/>
  <c r="AV47" i="7"/>
  <c r="AU47" i="7"/>
  <c r="AT47" i="7"/>
  <c r="AX47" i="7" s="1"/>
  <c r="AQ47" i="7"/>
  <c r="AP47" i="7"/>
  <c r="AO47" i="7"/>
  <c r="AN47" i="7"/>
  <c r="AM47" i="7"/>
  <c r="AR47" i="7" s="1"/>
  <c r="AS47" i="7" s="1"/>
  <c r="AL47" i="7"/>
  <c r="AK47" i="7"/>
  <c r="AJ47" i="7"/>
  <c r="AI47" i="7"/>
  <c r="AH47" i="7"/>
  <c r="AD47" i="7"/>
  <c r="AC47" i="7"/>
  <c r="Y47" i="7"/>
  <c r="Z47" i="7" s="1"/>
  <c r="X47" i="7"/>
  <c r="T47" i="7"/>
  <c r="V47" i="7" s="1"/>
  <c r="S47" i="7"/>
  <c r="R47" i="7"/>
  <c r="M47" i="7"/>
  <c r="L47" i="7"/>
  <c r="K47" i="7"/>
  <c r="H47" i="7"/>
  <c r="E47" i="7"/>
  <c r="D47" i="7"/>
  <c r="C47" i="7"/>
  <c r="AW46" i="7"/>
  <c r="AU46" i="7" s="1"/>
  <c r="AV46" i="7"/>
  <c r="AT46" i="7"/>
  <c r="AQ46" i="7"/>
  <c r="AP46" i="7"/>
  <c r="AO46" i="7"/>
  <c r="AN46" i="7"/>
  <c r="AR46" i="7" s="1"/>
  <c r="AS46" i="7" s="1"/>
  <c r="AM46" i="7"/>
  <c r="AK46" i="7"/>
  <c r="AL46" i="7" s="1"/>
  <c r="AJ46" i="7"/>
  <c r="AH46" i="7"/>
  <c r="AD46" i="7"/>
  <c r="S46" i="7"/>
  <c r="R46" i="7"/>
  <c r="M46" i="7"/>
  <c r="L46" i="7"/>
  <c r="K46" i="7"/>
  <c r="I46" i="7"/>
  <c r="H46" i="7"/>
  <c r="F46" i="7"/>
  <c r="E46" i="7"/>
  <c r="G46" i="7" s="1"/>
  <c r="D46" i="7"/>
  <c r="C46" i="7"/>
  <c r="AX45" i="7"/>
  <c r="AW45" i="7"/>
  <c r="AU45" i="7" s="1"/>
  <c r="AV45" i="7"/>
  <c r="AT45" i="7"/>
  <c r="AQ45" i="7"/>
  <c r="AP45" i="7"/>
  <c r="AO45" i="7"/>
  <c r="AN45" i="7"/>
  <c r="AR45" i="7" s="1"/>
  <c r="AS45" i="7" s="1"/>
  <c r="AM45" i="7"/>
  <c r="AK45" i="7"/>
  <c r="AL45" i="7" s="1"/>
  <c r="AJ45" i="7"/>
  <c r="AH45" i="7"/>
  <c r="AD45" i="7"/>
  <c r="AC45" i="7"/>
  <c r="X45" i="7"/>
  <c r="S45" i="7"/>
  <c r="R45" i="7"/>
  <c r="M45" i="7"/>
  <c r="L45" i="7"/>
  <c r="K45" i="7"/>
  <c r="J45" i="7"/>
  <c r="H45" i="7"/>
  <c r="G45" i="7"/>
  <c r="F45" i="7"/>
  <c r="E45" i="7"/>
  <c r="I45" i="7" s="1"/>
  <c r="N45" i="7" s="1"/>
  <c r="C45" i="7"/>
  <c r="D45" i="7" s="1"/>
  <c r="AW44" i="7"/>
  <c r="AU44" i="7" s="1"/>
  <c r="AV44" i="7"/>
  <c r="AT44" i="7"/>
  <c r="AX44" i="7" s="1"/>
  <c r="AQ44" i="7"/>
  <c r="AP44" i="7"/>
  <c r="AO44" i="7"/>
  <c r="AN44" i="7"/>
  <c r="AM44" i="7"/>
  <c r="AR44" i="7" s="1"/>
  <c r="AS44" i="7" s="1"/>
  <c r="AK44" i="7"/>
  <c r="AL44" i="7" s="1"/>
  <c r="AJ44" i="7"/>
  <c r="AI44" i="7"/>
  <c r="AH44" i="7"/>
  <c r="AD44" i="7"/>
  <c r="S44" i="7"/>
  <c r="R44" i="7"/>
  <c r="M44" i="7"/>
  <c r="L44" i="7"/>
  <c r="K44" i="7"/>
  <c r="H44" i="7"/>
  <c r="G44" i="7"/>
  <c r="F44" i="7"/>
  <c r="E44" i="7"/>
  <c r="I44" i="7" s="1"/>
  <c r="D44" i="7"/>
  <c r="C44" i="7"/>
  <c r="AW43" i="7"/>
  <c r="AV43" i="7"/>
  <c r="AU43" i="7"/>
  <c r="AT43" i="7"/>
  <c r="AQ43" i="7"/>
  <c r="AP43" i="7"/>
  <c r="AO43" i="7"/>
  <c r="AN43" i="7"/>
  <c r="AM43" i="7"/>
  <c r="AR43" i="7" s="1"/>
  <c r="AS43" i="7" s="1"/>
  <c r="AL43" i="7"/>
  <c r="AK43" i="7"/>
  <c r="AJ43" i="7"/>
  <c r="AI43" i="7"/>
  <c r="AH43" i="7"/>
  <c r="AD43" i="7"/>
  <c r="AC43" i="7"/>
  <c r="X43" i="7"/>
  <c r="S43" i="7"/>
  <c r="T43" i="7" s="1"/>
  <c r="V43" i="7" s="1"/>
  <c r="R43" i="7"/>
  <c r="M43" i="7"/>
  <c r="L43" i="7"/>
  <c r="K43" i="7"/>
  <c r="H43" i="7"/>
  <c r="G43" i="7"/>
  <c r="E43" i="7"/>
  <c r="C43" i="7"/>
  <c r="D43" i="7" s="1"/>
  <c r="AW42" i="7"/>
  <c r="AU42" i="7" s="1"/>
  <c r="AV42" i="7"/>
  <c r="AT42" i="7"/>
  <c r="AS42" i="7"/>
  <c r="AQ42" i="7"/>
  <c r="AP42" i="7"/>
  <c r="AO42" i="7"/>
  <c r="AN42" i="7"/>
  <c r="AM42" i="7"/>
  <c r="AR42" i="7" s="1"/>
  <c r="AK42" i="7"/>
  <c r="AL42" i="7" s="1"/>
  <c r="AJ42" i="7"/>
  <c r="AH42" i="7"/>
  <c r="AD42" i="7"/>
  <c r="Y42" i="7"/>
  <c r="Z42" i="7" s="1"/>
  <c r="T42" i="7"/>
  <c r="S42" i="7"/>
  <c r="R42" i="7"/>
  <c r="AI42" i="7" s="1"/>
  <c r="M42" i="7"/>
  <c r="L42" i="7"/>
  <c r="K42" i="7"/>
  <c r="H42" i="7"/>
  <c r="G42" i="7"/>
  <c r="E42" i="7"/>
  <c r="D42" i="7"/>
  <c r="C42" i="7"/>
  <c r="AW41" i="7"/>
  <c r="AV41" i="7"/>
  <c r="AU41" i="7"/>
  <c r="AT41" i="7"/>
  <c r="AQ41" i="7"/>
  <c r="AP41" i="7"/>
  <c r="AO41" i="7"/>
  <c r="AN41" i="7"/>
  <c r="AM41" i="7"/>
  <c r="AR41" i="7" s="1"/>
  <c r="AS41" i="7" s="1"/>
  <c r="AK41" i="7"/>
  <c r="AL41" i="7" s="1"/>
  <c r="AJ41" i="7"/>
  <c r="AI41" i="7"/>
  <c r="AH41" i="7"/>
  <c r="AD41" i="7"/>
  <c r="AG41" i="7" s="1"/>
  <c r="AC41" i="7"/>
  <c r="Y41" i="7"/>
  <c r="Z41" i="7" s="1"/>
  <c r="X41" i="7"/>
  <c r="U41" i="7"/>
  <c r="T41" i="7"/>
  <c r="V41" i="7" s="1"/>
  <c r="S41" i="7"/>
  <c r="R41" i="7"/>
  <c r="M41" i="7"/>
  <c r="L41" i="7"/>
  <c r="K41" i="7"/>
  <c r="H41" i="7"/>
  <c r="E41" i="7"/>
  <c r="D41" i="7"/>
  <c r="C41" i="7"/>
  <c r="AW40" i="7"/>
  <c r="AU40" i="7" s="1"/>
  <c r="AV40" i="7"/>
  <c r="AT40" i="7"/>
  <c r="AQ40" i="7"/>
  <c r="AP40" i="7"/>
  <c r="AO40" i="7"/>
  <c r="AN40" i="7"/>
  <c r="AR40" i="7" s="1"/>
  <c r="AS40" i="7" s="1"/>
  <c r="AM40" i="7"/>
  <c r="AK40" i="7"/>
  <c r="AL40" i="7" s="1"/>
  <c r="AJ40" i="7"/>
  <c r="AH40" i="7"/>
  <c r="AD40" i="7"/>
  <c r="S40" i="7"/>
  <c r="R40" i="7"/>
  <c r="M40" i="7"/>
  <c r="L40" i="7"/>
  <c r="K40" i="7"/>
  <c r="H40" i="7"/>
  <c r="F40" i="7"/>
  <c r="E40" i="7"/>
  <c r="G40" i="7" s="1"/>
  <c r="C40" i="7"/>
  <c r="D40" i="7" s="1"/>
  <c r="AW39" i="7"/>
  <c r="AU39" i="7" s="1"/>
  <c r="AV39" i="7"/>
  <c r="AT39" i="7"/>
  <c r="AQ39" i="7"/>
  <c r="AP39" i="7"/>
  <c r="AO39" i="7"/>
  <c r="AN39" i="7"/>
  <c r="AM39" i="7"/>
  <c r="AR39" i="7" s="1"/>
  <c r="AK39" i="7"/>
  <c r="AL39" i="7" s="1"/>
  <c r="AJ39" i="7"/>
  <c r="AH39" i="7"/>
  <c r="AD39" i="7"/>
  <c r="AC39" i="7"/>
  <c r="X39" i="7"/>
  <c r="S39" i="7"/>
  <c r="Y39" i="7" s="1"/>
  <c r="Z39" i="7" s="1"/>
  <c r="R39" i="7"/>
  <c r="M39" i="7"/>
  <c r="L39" i="7"/>
  <c r="K39" i="7"/>
  <c r="J39" i="7"/>
  <c r="H39" i="7"/>
  <c r="G39" i="7"/>
  <c r="F39" i="7"/>
  <c r="E39" i="7"/>
  <c r="I39" i="7" s="1"/>
  <c r="N39" i="7" s="1"/>
  <c r="D39" i="7"/>
  <c r="C39" i="7"/>
  <c r="AW38" i="7"/>
  <c r="AV38" i="7"/>
  <c r="AU38" i="7"/>
  <c r="AT38" i="7"/>
  <c r="AX38" i="7" s="1"/>
  <c r="AQ38" i="7"/>
  <c r="AP38" i="7"/>
  <c r="AO38" i="7"/>
  <c r="AN38" i="7"/>
  <c r="AR38" i="7" s="1"/>
  <c r="AS38" i="7" s="1"/>
  <c r="AM38" i="7"/>
  <c r="AL38" i="7"/>
  <c r="AK38" i="7"/>
  <c r="AJ38" i="7"/>
  <c r="AI38" i="7"/>
  <c r="AH38" i="7"/>
  <c r="AD38" i="7"/>
  <c r="X38" i="7"/>
  <c r="S38" i="7"/>
  <c r="T38" i="7" s="1"/>
  <c r="R38" i="7"/>
  <c r="M38" i="7"/>
  <c r="L38" i="7"/>
  <c r="K38" i="7"/>
  <c r="H38" i="7"/>
  <c r="G38" i="7"/>
  <c r="E38" i="7"/>
  <c r="C38" i="7"/>
  <c r="D38" i="7" s="1"/>
  <c r="AW37" i="7"/>
  <c r="AU37" i="7" s="1"/>
  <c r="AV37" i="7"/>
  <c r="AT37" i="7"/>
  <c r="AQ37" i="7"/>
  <c r="AP37" i="7"/>
  <c r="AO37" i="7"/>
  <c r="AN37" i="7"/>
  <c r="AM37" i="7"/>
  <c r="AR37" i="7" s="1"/>
  <c r="AS37" i="7" s="1"/>
  <c r="AK37" i="7"/>
  <c r="AL37" i="7" s="1"/>
  <c r="AJ37" i="7"/>
  <c r="AH37" i="7"/>
  <c r="AD37" i="7"/>
  <c r="AC37" i="7"/>
  <c r="Z37" i="7"/>
  <c r="Y37" i="7"/>
  <c r="X37" i="7"/>
  <c r="U37" i="7"/>
  <c r="T37" i="7"/>
  <c r="V37" i="7" s="1"/>
  <c r="AG37" i="7" s="1"/>
  <c r="S37" i="7"/>
  <c r="R37" i="7"/>
  <c r="AI37" i="7" s="1"/>
  <c r="M37" i="7"/>
  <c r="L37" i="7"/>
  <c r="K37" i="7"/>
  <c r="H37" i="7"/>
  <c r="F37" i="7"/>
  <c r="E37" i="7"/>
  <c r="G37" i="7" s="1"/>
  <c r="D37" i="7"/>
  <c r="C37" i="7"/>
  <c r="AW36" i="7"/>
  <c r="AU36" i="7" s="1"/>
  <c r="AV36" i="7"/>
  <c r="AT36" i="7"/>
  <c r="AX36" i="7" s="1"/>
  <c r="AQ36" i="7"/>
  <c r="AP36" i="7"/>
  <c r="AO36" i="7"/>
  <c r="AN36" i="7"/>
  <c r="AR36" i="7" s="1"/>
  <c r="AS36" i="7" s="1"/>
  <c r="AM36" i="7"/>
  <c r="AL36" i="7"/>
  <c r="AK36" i="7"/>
  <c r="AJ36" i="7"/>
  <c r="AH36" i="7"/>
  <c r="AD36" i="7"/>
  <c r="S36" i="7"/>
  <c r="R36" i="7"/>
  <c r="M36" i="7"/>
  <c r="L36" i="7"/>
  <c r="K36" i="7"/>
  <c r="J36" i="7"/>
  <c r="H36" i="7"/>
  <c r="F36" i="7"/>
  <c r="E36" i="7"/>
  <c r="I36" i="7" s="1"/>
  <c r="N36" i="7" s="1"/>
  <c r="C36" i="7"/>
  <c r="D36" i="7" s="1"/>
  <c r="AW35" i="7"/>
  <c r="AU35" i="7" s="1"/>
  <c r="AV35" i="7"/>
  <c r="AT35" i="7"/>
  <c r="AQ35" i="7"/>
  <c r="AP35" i="7"/>
  <c r="AO35" i="7"/>
  <c r="AN35" i="7"/>
  <c r="AM35" i="7"/>
  <c r="AR35" i="7" s="1"/>
  <c r="AK35" i="7"/>
  <c r="AL35" i="7" s="1"/>
  <c r="AJ35" i="7"/>
  <c r="AH35" i="7"/>
  <c r="AD35" i="7"/>
  <c r="AC35" i="7"/>
  <c r="X35" i="7"/>
  <c r="S35" i="7"/>
  <c r="Y35" i="7" s="1"/>
  <c r="Z35" i="7" s="1"/>
  <c r="R35" i="7"/>
  <c r="M35" i="7"/>
  <c r="L35" i="7"/>
  <c r="K35" i="7"/>
  <c r="J35" i="7"/>
  <c r="H35" i="7"/>
  <c r="G35" i="7"/>
  <c r="F35" i="7"/>
  <c r="E35" i="7"/>
  <c r="I35" i="7" s="1"/>
  <c r="N35" i="7" s="1"/>
  <c r="D35" i="7"/>
  <c r="C35" i="7"/>
  <c r="AW34" i="7"/>
  <c r="AV34" i="7"/>
  <c r="AU34" i="7"/>
  <c r="AT34" i="7"/>
  <c r="AX34" i="7" s="1"/>
  <c r="AQ34" i="7"/>
  <c r="AP34" i="7"/>
  <c r="AO34" i="7"/>
  <c r="AN34" i="7"/>
  <c r="AR34" i="7" s="1"/>
  <c r="AS34" i="7" s="1"/>
  <c r="AM34" i="7"/>
  <c r="AL34" i="7"/>
  <c r="AK34" i="7"/>
  <c r="AJ34" i="7"/>
  <c r="AI34" i="7"/>
  <c r="AH34" i="7"/>
  <c r="AD34" i="7"/>
  <c r="X34" i="7"/>
  <c r="S34" i="7"/>
  <c r="T34" i="7" s="1"/>
  <c r="R34" i="7"/>
  <c r="M34" i="7"/>
  <c r="L34" i="7"/>
  <c r="K34" i="7"/>
  <c r="H34" i="7"/>
  <c r="G34" i="7"/>
  <c r="E34" i="7"/>
  <c r="I34" i="7" s="1"/>
  <c r="C34" i="7"/>
  <c r="D34" i="7" s="1"/>
  <c r="AW33" i="7"/>
  <c r="AU33" i="7" s="1"/>
  <c r="AV33" i="7"/>
  <c r="AT33" i="7"/>
  <c r="AX33" i="7" s="1"/>
  <c r="AQ33" i="7"/>
  <c r="AP33" i="7"/>
  <c r="AO33" i="7"/>
  <c r="AN33" i="7"/>
  <c r="AM33" i="7"/>
  <c r="AL33" i="7"/>
  <c r="AK33" i="7"/>
  <c r="AJ33" i="7"/>
  <c r="AH33" i="7"/>
  <c r="AD33" i="7"/>
  <c r="AC33" i="7"/>
  <c r="X33" i="7"/>
  <c r="S33" i="7"/>
  <c r="R33" i="7"/>
  <c r="M33" i="7"/>
  <c r="L33" i="7"/>
  <c r="K33" i="7"/>
  <c r="H33" i="7"/>
  <c r="G33" i="7"/>
  <c r="F33" i="7"/>
  <c r="E33" i="7"/>
  <c r="C33" i="7"/>
  <c r="D33" i="7" s="1"/>
  <c r="AW32" i="7"/>
  <c r="AV32" i="7"/>
  <c r="AU32" i="7"/>
  <c r="AT32" i="7"/>
  <c r="AX32" i="7" s="1"/>
  <c r="AQ32" i="7"/>
  <c r="AP32" i="7"/>
  <c r="AO32" i="7"/>
  <c r="AN32" i="7"/>
  <c r="AM32" i="7"/>
  <c r="AR32" i="7" s="1"/>
  <c r="AS32" i="7" s="1"/>
  <c r="AL32" i="7"/>
  <c r="AK32" i="7"/>
  <c r="AJ32" i="7"/>
  <c r="AI32" i="7"/>
  <c r="AH32" i="7"/>
  <c r="AD32" i="7"/>
  <c r="AC32" i="7"/>
  <c r="Y32" i="7"/>
  <c r="Z32" i="7" s="1"/>
  <c r="T32" i="7"/>
  <c r="S32" i="7"/>
  <c r="R32" i="7"/>
  <c r="M32" i="7"/>
  <c r="L32" i="7"/>
  <c r="K32" i="7"/>
  <c r="H32" i="7"/>
  <c r="E32" i="7"/>
  <c r="G32" i="7" s="1"/>
  <c r="D32" i="7"/>
  <c r="C32" i="7"/>
  <c r="AW31" i="7"/>
  <c r="AU31" i="7" s="1"/>
  <c r="AV31" i="7"/>
  <c r="AT31" i="7"/>
  <c r="AQ31" i="7"/>
  <c r="AP31" i="7"/>
  <c r="AO31" i="7"/>
  <c r="AN31" i="7"/>
  <c r="AR31" i="7" s="1"/>
  <c r="AS31" i="7" s="1"/>
  <c r="AM31" i="7"/>
  <c r="AK31" i="7"/>
  <c r="AL31" i="7" s="1"/>
  <c r="AJ31" i="7"/>
  <c r="AH31" i="7"/>
  <c r="AD31" i="7"/>
  <c r="AC31" i="7"/>
  <c r="X31" i="7"/>
  <c r="S31" i="7"/>
  <c r="R31" i="7"/>
  <c r="AI31" i="7" s="1"/>
  <c r="M31" i="7"/>
  <c r="L31" i="7"/>
  <c r="K31" i="7"/>
  <c r="I31" i="7"/>
  <c r="H31" i="7"/>
  <c r="E31" i="7"/>
  <c r="D31" i="7"/>
  <c r="C31" i="7"/>
  <c r="AW30" i="7"/>
  <c r="AU30" i="7" s="1"/>
  <c r="AV30" i="7"/>
  <c r="AT30" i="7"/>
  <c r="AX30" i="7" s="1"/>
  <c r="AQ30" i="7"/>
  <c r="AP30" i="7"/>
  <c r="AO30" i="7"/>
  <c r="AN30" i="7"/>
  <c r="AR30" i="7" s="1"/>
  <c r="AS30" i="7" s="1"/>
  <c r="AM30" i="7"/>
  <c r="AK30" i="7"/>
  <c r="AL30" i="7" s="1"/>
  <c r="AJ30" i="7"/>
  <c r="AH30" i="7"/>
  <c r="AI30" i="7" s="1"/>
  <c r="AD30" i="7"/>
  <c r="S30" i="7"/>
  <c r="R30" i="7"/>
  <c r="M30" i="7"/>
  <c r="L30" i="7"/>
  <c r="K30" i="7"/>
  <c r="H30" i="7"/>
  <c r="F30" i="7"/>
  <c r="E30" i="7"/>
  <c r="I30" i="7" s="1"/>
  <c r="C30" i="7"/>
  <c r="D30" i="7" s="1"/>
  <c r="AX29" i="7"/>
  <c r="AW29" i="7"/>
  <c r="AU29" i="7" s="1"/>
  <c r="AV29" i="7"/>
  <c r="AT29" i="7"/>
  <c r="AQ29" i="7"/>
  <c r="AP29" i="7"/>
  <c r="AO29" i="7"/>
  <c r="AN29" i="7"/>
  <c r="AM29" i="7"/>
  <c r="AR29" i="7" s="1"/>
  <c r="AS29" i="7" s="1"/>
  <c r="AL29" i="7"/>
  <c r="AK29" i="7"/>
  <c r="AJ29" i="7"/>
  <c r="AH29" i="7"/>
  <c r="AI29" i="7" s="1"/>
  <c r="AD29" i="7"/>
  <c r="S29" i="7"/>
  <c r="R29" i="7"/>
  <c r="M29" i="7"/>
  <c r="L29" i="7"/>
  <c r="K29" i="7"/>
  <c r="H29" i="7"/>
  <c r="G29" i="7"/>
  <c r="F29" i="7"/>
  <c r="E29" i="7"/>
  <c r="C29" i="7"/>
  <c r="D29" i="7" s="1"/>
  <c r="AW28" i="7"/>
  <c r="AV28" i="7"/>
  <c r="AU28" i="7"/>
  <c r="AT28" i="7"/>
  <c r="AX28" i="7" s="1"/>
  <c r="AQ28" i="7"/>
  <c r="AP28" i="7"/>
  <c r="AO28" i="7"/>
  <c r="AN28" i="7"/>
  <c r="AM28" i="7"/>
  <c r="AR28" i="7" s="1"/>
  <c r="AS28" i="7" s="1"/>
  <c r="AL28" i="7"/>
  <c r="AK28" i="7"/>
  <c r="AJ28" i="7"/>
  <c r="AI28" i="7"/>
  <c r="AH28" i="7"/>
  <c r="AD28" i="7"/>
  <c r="AC28" i="7"/>
  <c r="Y28" i="7"/>
  <c r="Z28" i="7" s="1"/>
  <c r="T28" i="7"/>
  <c r="S28" i="7"/>
  <c r="R28" i="7"/>
  <c r="M28" i="7"/>
  <c r="L28" i="7"/>
  <c r="K28" i="7"/>
  <c r="H28" i="7"/>
  <c r="E28" i="7"/>
  <c r="G28" i="7" s="1"/>
  <c r="D28" i="7"/>
  <c r="C28" i="7"/>
  <c r="AW27" i="7"/>
  <c r="AU27" i="7" s="1"/>
  <c r="AV27" i="7"/>
  <c r="AT27" i="7"/>
  <c r="AQ27" i="7"/>
  <c r="AP27" i="7"/>
  <c r="AO27" i="7"/>
  <c r="AN27" i="7"/>
  <c r="AR27" i="7" s="1"/>
  <c r="AS27" i="7" s="1"/>
  <c r="AM27" i="7"/>
  <c r="AK27" i="7"/>
  <c r="AL27" i="7" s="1"/>
  <c r="AJ27" i="7"/>
  <c r="AH27" i="7"/>
  <c r="AD27" i="7"/>
  <c r="S27" i="7"/>
  <c r="R27" i="7"/>
  <c r="AI27" i="7" s="1"/>
  <c r="M27" i="7"/>
  <c r="L27" i="7"/>
  <c r="K27" i="7"/>
  <c r="I27" i="7"/>
  <c r="H27" i="7"/>
  <c r="E27" i="7"/>
  <c r="D27" i="7"/>
  <c r="C27" i="7"/>
  <c r="AW26" i="7"/>
  <c r="AU26" i="7" s="1"/>
  <c r="AV26" i="7"/>
  <c r="AT26" i="7"/>
  <c r="AX26" i="7" s="1"/>
  <c r="AQ26" i="7"/>
  <c r="AP26" i="7"/>
  <c r="AO26" i="7"/>
  <c r="AN26" i="7"/>
  <c r="AM26" i="7"/>
  <c r="AK26" i="7"/>
  <c r="AL26" i="7" s="1"/>
  <c r="AJ26" i="7"/>
  <c r="AH26" i="7"/>
  <c r="AD26" i="7"/>
  <c r="S26" i="7"/>
  <c r="R26" i="7"/>
  <c r="M26" i="7"/>
  <c r="L26" i="7"/>
  <c r="K26" i="7"/>
  <c r="J26" i="7"/>
  <c r="H26" i="7"/>
  <c r="G26" i="7"/>
  <c r="F26" i="7"/>
  <c r="E26" i="7"/>
  <c r="I26" i="7" s="1"/>
  <c r="N26" i="7" s="1"/>
  <c r="C26" i="7"/>
  <c r="D26" i="7" s="1"/>
  <c r="AW25" i="7"/>
  <c r="AV25" i="7"/>
  <c r="AU25" i="7"/>
  <c r="AT25" i="7"/>
  <c r="AX25" i="7" s="1"/>
  <c r="AQ25" i="7"/>
  <c r="AP25" i="7"/>
  <c r="AO25" i="7"/>
  <c r="AN25" i="7"/>
  <c r="AM25" i="7"/>
  <c r="AL25" i="7"/>
  <c r="AK25" i="7"/>
  <c r="AJ25" i="7"/>
  <c r="AH25" i="7"/>
  <c r="AI25" i="7" s="1"/>
  <c r="AD25" i="7"/>
  <c r="Y25" i="7"/>
  <c r="Z25" i="7" s="1"/>
  <c r="T25" i="7"/>
  <c r="S25" i="7"/>
  <c r="R25" i="7"/>
  <c r="M25" i="7"/>
  <c r="L25" i="7"/>
  <c r="K25" i="7"/>
  <c r="H25" i="7"/>
  <c r="G25" i="7"/>
  <c r="F25" i="7"/>
  <c r="E25" i="7"/>
  <c r="D25" i="7"/>
  <c r="C25" i="7"/>
  <c r="AW24" i="7"/>
  <c r="AV24" i="7"/>
  <c r="AU24" i="7"/>
  <c r="AT24" i="7"/>
  <c r="AX24" i="7" s="1"/>
  <c r="AQ24" i="7"/>
  <c r="AP24" i="7"/>
  <c r="AO24" i="7"/>
  <c r="AN24" i="7"/>
  <c r="AM24" i="7"/>
  <c r="AR24" i="7" s="1"/>
  <c r="AL24" i="7"/>
  <c r="AK24" i="7"/>
  <c r="AJ24" i="7"/>
  <c r="AH24" i="7"/>
  <c r="AD24" i="7"/>
  <c r="AC24" i="7"/>
  <c r="X24" i="7"/>
  <c r="U24" i="7"/>
  <c r="S24" i="7"/>
  <c r="T24" i="7" s="1"/>
  <c r="V24" i="7" s="1"/>
  <c r="R24" i="7"/>
  <c r="M24" i="7"/>
  <c r="L24" i="7"/>
  <c r="K24" i="7"/>
  <c r="H24" i="7"/>
  <c r="G24" i="7"/>
  <c r="E24" i="7"/>
  <c r="D24" i="7"/>
  <c r="C24" i="7"/>
  <c r="AW23" i="7"/>
  <c r="AV23" i="7"/>
  <c r="AU23" i="7"/>
  <c r="AT23" i="7"/>
  <c r="AQ23" i="7"/>
  <c r="AP23" i="7"/>
  <c r="AO23" i="7"/>
  <c r="AN23" i="7"/>
  <c r="AM23" i="7"/>
  <c r="AR23" i="7" s="1"/>
  <c r="AS23" i="7" s="1"/>
  <c r="F14" i="6" s="1"/>
  <c r="AK23" i="7"/>
  <c r="AL23" i="7" s="1"/>
  <c r="AJ23" i="7"/>
  <c r="AH23" i="7"/>
  <c r="AD23" i="7"/>
  <c r="AA23" i="7"/>
  <c r="Y23" i="7"/>
  <c r="Z23" i="7" s="1"/>
  <c r="AB23" i="7" s="1"/>
  <c r="S23" i="7"/>
  <c r="R23" i="7"/>
  <c r="AI23" i="7" s="1"/>
  <c r="H14" i="6" s="1"/>
  <c r="M23" i="7"/>
  <c r="L23" i="7"/>
  <c r="K23" i="7"/>
  <c r="H23" i="7"/>
  <c r="E23" i="7"/>
  <c r="D23" i="7"/>
  <c r="C23" i="7"/>
  <c r="AW22" i="7"/>
  <c r="AU22" i="7" s="1"/>
  <c r="AV22" i="7"/>
  <c r="AT22" i="7"/>
  <c r="AQ22" i="7"/>
  <c r="AP22" i="7"/>
  <c r="AO22" i="7"/>
  <c r="AN22" i="7"/>
  <c r="AM22" i="7"/>
  <c r="AL22" i="7"/>
  <c r="AK22" i="7"/>
  <c r="AJ22" i="7"/>
  <c r="AH22" i="7"/>
  <c r="AD22" i="7"/>
  <c r="S22" i="7"/>
  <c r="R22" i="7"/>
  <c r="M22" i="7"/>
  <c r="L22" i="7"/>
  <c r="K22" i="7"/>
  <c r="J22" i="7"/>
  <c r="H22" i="7"/>
  <c r="G22" i="7"/>
  <c r="F22" i="7"/>
  <c r="E22" i="7"/>
  <c r="I22" i="7" s="1"/>
  <c r="N22" i="7" s="1"/>
  <c r="C22" i="7"/>
  <c r="D22" i="7" s="1"/>
  <c r="AW21" i="7"/>
  <c r="AV21" i="7"/>
  <c r="AU21" i="7"/>
  <c r="AT21" i="7"/>
  <c r="AQ21" i="7"/>
  <c r="AP21" i="7"/>
  <c r="AO21" i="7"/>
  <c r="AN21" i="7"/>
  <c r="AM21" i="7"/>
  <c r="AK21" i="7"/>
  <c r="AL21" i="7" s="1"/>
  <c r="AJ21" i="7"/>
  <c r="AH21" i="7"/>
  <c r="AD21" i="7"/>
  <c r="S21" i="7"/>
  <c r="R21" i="7"/>
  <c r="M21" i="7"/>
  <c r="L21" i="7"/>
  <c r="K21" i="7"/>
  <c r="H21" i="7"/>
  <c r="F21" i="7"/>
  <c r="E21" i="7"/>
  <c r="G21" i="7" s="1"/>
  <c r="D21" i="7"/>
  <c r="C21" i="7"/>
  <c r="AW20" i="7"/>
  <c r="AV20" i="7"/>
  <c r="AT20" i="7"/>
  <c r="AQ20" i="7"/>
  <c r="AP20" i="7"/>
  <c r="AO20" i="7"/>
  <c r="AN20" i="7"/>
  <c r="AR20" i="7" s="1"/>
  <c r="AS20" i="7" s="1"/>
  <c r="F11" i="6" s="1"/>
  <c r="AM20" i="7"/>
  <c r="AK20" i="7"/>
  <c r="AJ20" i="7"/>
  <c r="AH20" i="7"/>
  <c r="AD20" i="7"/>
  <c r="S20" i="7"/>
  <c r="R20" i="7"/>
  <c r="Y20" i="7" s="1"/>
  <c r="Z20" i="7" s="1"/>
  <c r="M20" i="7"/>
  <c r="L20" i="7"/>
  <c r="K20" i="7"/>
  <c r="E20" i="7"/>
  <c r="C20" i="7"/>
  <c r="D20" i="7" s="1"/>
  <c r="AW19" i="7"/>
  <c r="AV19" i="7"/>
  <c r="AT19" i="7"/>
  <c r="AQ19" i="7"/>
  <c r="AP19" i="7"/>
  <c r="AO19" i="7"/>
  <c r="AN19" i="7"/>
  <c r="AM19" i="7"/>
  <c r="AK19" i="7"/>
  <c r="AJ19" i="7"/>
  <c r="AH19" i="7"/>
  <c r="AD19" i="7"/>
  <c r="Y19" i="7"/>
  <c r="Z19" i="7" s="1"/>
  <c r="S19" i="7"/>
  <c r="R19" i="7"/>
  <c r="M19" i="7"/>
  <c r="L19" i="7"/>
  <c r="K19" i="7"/>
  <c r="G19" i="7"/>
  <c r="F19" i="7"/>
  <c r="E19" i="7"/>
  <c r="I19" i="7" s="1"/>
  <c r="D19" i="7"/>
  <c r="C19" i="7"/>
  <c r="AW18" i="7"/>
  <c r="AV18" i="7"/>
  <c r="AT18" i="7"/>
  <c r="AQ18" i="7"/>
  <c r="AP18" i="7"/>
  <c r="AO18" i="7"/>
  <c r="AN18" i="7"/>
  <c r="AR18" i="7" s="1"/>
  <c r="AM18" i="7"/>
  <c r="AK18" i="7"/>
  <c r="AJ18" i="7"/>
  <c r="AH18" i="7"/>
  <c r="AD18" i="7"/>
  <c r="S18" i="7"/>
  <c r="R18" i="7"/>
  <c r="M18" i="7"/>
  <c r="L18" i="7"/>
  <c r="K18" i="7"/>
  <c r="G18" i="7"/>
  <c r="E18" i="7"/>
  <c r="I18" i="7" s="1"/>
  <c r="C18" i="7"/>
  <c r="D18" i="7" s="1"/>
  <c r="AW17" i="7"/>
  <c r="AV17" i="7"/>
  <c r="AT17" i="7"/>
  <c r="AQ17" i="7"/>
  <c r="AP17" i="7"/>
  <c r="AO17" i="7"/>
  <c r="AN17" i="7"/>
  <c r="AM17" i="7"/>
  <c r="AR17" i="7" s="1"/>
  <c r="AS17" i="7" s="1"/>
  <c r="F8" i="6" s="1"/>
  <c r="AK17" i="7"/>
  <c r="AJ17" i="7"/>
  <c r="AH17" i="7"/>
  <c r="AD17" i="7"/>
  <c r="AA17" i="7"/>
  <c r="S17" i="7"/>
  <c r="R17" i="7"/>
  <c r="Y17" i="7" s="1"/>
  <c r="Z17" i="7" s="1"/>
  <c r="M17" i="7"/>
  <c r="L17" i="7"/>
  <c r="K17" i="7"/>
  <c r="H17" i="7"/>
  <c r="F17" i="7"/>
  <c r="E17" i="7"/>
  <c r="G17" i="7" s="1"/>
  <c r="D17" i="7"/>
  <c r="C17" i="7"/>
  <c r="AW16" i="7"/>
  <c r="AV16" i="7"/>
  <c r="AT16" i="7"/>
  <c r="AQ16" i="7"/>
  <c r="AP16" i="7"/>
  <c r="AO16" i="7"/>
  <c r="AN16" i="7"/>
  <c r="AR16" i="7" s="1"/>
  <c r="AM16" i="7"/>
  <c r="AK16" i="7"/>
  <c r="AJ16" i="7"/>
  <c r="AH16" i="7"/>
  <c r="AD16" i="7"/>
  <c r="S16" i="7"/>
  <c r="R16" i="7"/>
  <c r="M16" i="7"/>
  <c r="L16" i="7"/>
  <c r="K16" i="7"/>
  <c r="I16" i="7"/>
  <c r="G16" i="7"/>
  <c r="E16" i="7"/>
  <c r="C16" i="7"/>
  <c r="D16" i="7" s="1"/>
  <c r="AW15" i="7"/>
  <c r="AV15" i="7"/>
  <c r="AT15" i="7"/>
  <c r="AQ15" i="7"/>
  <c r="AP15" i="7"/>
  <c r="AO15" i="7"/>
  <c r="AN15" i="7"/>
  <c r="AM15" i="7"/>
  <c r="AR15" i="7" s="1"/>
  <c r="AS15" i="7" s="1"/>
  <c r="F6" i="6" s="1"/>
  <c r="AK15" i="7"/>
  <c r="AJ15" i="7"/>
  <c r="AH15" i="7"/>
  <c r="AD15" i="7"/>
  <c r="T15" i="7"/>
  <c r="U15" i="7" s="1"/>
  <c r="S15" i="7"/>
  <c r="R15" i="7"/>
  <c r="Y15" i="7" s="1"/>
  <c r="Z15" i="7" s="1"/>
  <c r="M15" i="7"/>
  <c r="L15" i="7"/>
  <c r="H15" i="7"/>
  <c r="G15" i="7"/>
  <c r="F15" i="7"/>
  <c r="E15" i="7"/>
  <c r="D15" i="7"/>
  <c r="K15" i="7" s="1"/>
  <c r="C15" i="7"/>
  <c r="AW14" i="7"/>
  <c r="AV14" i="7"/>
  <c r="AT14" i="7"/>
  <c r="AQ14" i="7"/>
  <c r="AP14" i="7"/>
  <c r="AO14" i="7"/>
  <c r="AN14" i="7"/>
  <c r="AR14" i="7" s="1"/>
  <c r="AM14" i="7"/>
  <c r="AK14" i="7"/>
  <c r="AJ14" i="7"/>
  <c r="AH14" i="7"/>
  <c r="AD14" i="7"/>
  <c r="S14" i="7"/>
  <c r="R14" i="7"/>
  <c r="M14" i="7"/>
  <c r="L14" i="7"/>
  <c r="H14" i="7"/>
  <c r="E14" i="7"/>
  <c r="C14" i="7"/>
  <c r="D14" i="7" s="1"/>
  <c r="AR13" i="7"/>
  <c r="M12" i="7"/>
  <c r="BM8" i="7"/>
  <c r="BL8" i="7"/>
  <c r="BK8" i="7"/>
  <c r="BJ8" i="7"/>
  <c r="BI8" i="7"/>
  <c r="BH8" i="7"/>
  <c r="BG8" i="7"/>
  <c r="BF8" i="7"/>
  <c r="BE8" i="7"/>
  <c r="BD8" i="7"/>
  <c r="BC8" i="7"/>
  <c r="BB8" i="7"/>
  <c r="BA8" i="7"/>
  <c r="AZ8" i="7"/>
  <c r="AY8" i="7"/>
  <c r="AX8" i="7"/>
  <c r="AW8" i="7"/>
  <c r="AV8" i="7"/>
  <c r="AU8" i="7"/>
  <c r="AT8" i="7"/>
  <c r="AS8" i="7"/>
  <c r="AR8" i="7"/>
  <c r="AQ8" i="7"/>
  <c r="AP8" i="7"/>
  <c r="AO8" i="7"/>
  <c r="AN8" i="7"/>
  <c r="AM8" i="7"/>
  <c r="AL8" i="7"/>
  <c r="AK8" i="7"/>
  <c r="AJ8" i="7"/>
  <c r="AI8" i="7"/>
  <c r="AH8" i="7"/>
  <c r="AG8" i="7"/>
  <c r="AF8" i="7"/>
  <c r="AE8" i="7"/>
  <c r="AD8" i="7"/>
  <c r="AC8" i="7"/>
  <c r="AB8" i="7"/>
  <c r="AA8" i="7"/>
  <c r="Z8" i="7"/>
  <c r="Y8" i="7"/>
  <c r="X8" i="7"/>
  <c r="W8" i="7"/>
  <c r="V8" i="7"/>
  <c r="U8" i="7"/>
  <c r="T8" i="7"/>
  <c r="S8" i="7"/>
  <c r="R8" i="7"/>
  <c r="Q8" i="7"/>
  <c r="P8" i="7"/>
  <c r="O8" i="7"/>
  <c r="N8" i="7"/>
  <c r="M8" i="7"/>
  <c r="L8" i="7"/>
  <c r="K8" i="7"/>
  <c r="J8" i="7"/>
  <c r="I8" i="7"/>
  <c r="H8" i="7"/>
  <c r="G8" i="7"/>
  <c r="F8" i="7"/>
  <c r="E8" i="7"/>
  <c r="D8" i="7"/>
  <c r="BM7" i="7"/>
  <c r="BL7" i="7"/>
  <c r="BK7" i="7"/>
  <c r="BJ7" i="7"/>
  <c r="BI7" i="7"/>
  <c r="BH7" i="7"/>
  <c r="BG7" i="7"/>
  <c r="BF7" i="7"/>
  <c r="BE7" i="7"/>
  <c r="BD7" i="7"/>
  <c r="BC7" i="7"/>
  <c r="BB7" i="7"/>
  <c r="BA7" i="7"/>
  <c r="AZ7" i="7"/>
  <c r="AY7" i="7"/>
  <c r="AX7" i="7"/>
  <c r="AW7" i="7"/>
  <c r="AV7" i="7"/>
  <c r="AU7" i="7"/>
  <c r="AT7" i="7"/>
  <c r="AS7" i="7"/>
  <c r="AR7" i="7"/>
  <c r="AQ7" i="7"/>
  <c r="AP7" i="7"/>
  <c r="AO7" i="7"/>
  <c r="AN7" i="7"/>
  <c r="AM7" i="7"/>
  <c r="AL7" i="7"/>
  <c r="AK7" i="7"/>
  <c r="AJ7" i="7"/>
  <c r="AI7" i="7"/>
  <c r="AH7" i="7"/>
  <c r="AG7" i="7"/>
  <c r="AF7" i="7"/>
  <c r="AE7" i="7"/>
  <c r="AD7" i="7"/>
  <c r="AC7" i="7"/>
  <c r="AB7" i="7"/>
  <c r="AA7" i="7"/>
  <c r="Z7" i="7"/>
  <c r="Y7" i="7"/>
  <c r="X7" i="7"/>
  <c r="W7" i="7"/>
  <c r="V7" i="7"/>
  <c r="U7" i="7"/>
  <c r="T7" i="7"/>
  <c r="S7" i="7"/>
  <c r="R7" i="7"/>
  <c r="Q7" i="7"/>
  <c r="P7" i="7"/>
  <c r="O7" i="7"/>
  <c r="N7" i="7"/>
  <c r="M7" i="7"/>
  <c r="L7" i="7"/>
  <c r="K7" i="7"/>
  <c r="J7" i="7"/>
  <c r="I7" i="7"/>
  <c r="H7" i="7"/>
  <c r="G7" i="7"/>
  <c r="F7" i="7"/>
  <c r="E7" i="7"/>
  <c r="D7" i="7"/>
  <c r="BM6" i="7"/>
  <c r="BL6" i="7"/>
  <c r="BK6" i="7"/>
  <c r="BJ6" i="7"/>
  <c r="BI6" i="7"/>
  <c r="BH6" i="7"/>
  <c r="BG6" i="7"/>
  <c r="BF6" i="7"/>
  <c r="BE6" i="7"/>
  <c r="BD6" i="7"/>
  <c r="BC6" i="7"/>
  <c r="BB6" i="7"/>
  <c r="BA6" i="7"/>
  <c r="AZ6" i="7"/>
  <c r="AY6" i="7"/>
  <c r="AX6" i="7"/>
  <c r="AW6" i="7"/>
  <c r="AV6" i="7"/>
  <c r="AU6" i="7"/>
  <c r="AT6" i="7"/>
  <c r="AS6" i="7"/>
  <c r="AR6" i="7"/>
  <c r="AQ6" i="7"/>
  <c r="AP6" i="7"/>
  <c r="AO6" i="7"/>
  <c r="AN6" i="7"/>
  <c r="AM6" i="7"/>
  <c r="AL6" i="7"/>
  <c r="AK6" i="7"/>
  <c r="AJ6" i="7"/>
  <c r="AI6" i="7"/>
  <c r="AH6" i="7"/>
  <c r="AG6" i="7"/>
  <c r="AF6" i="7"/>
  <c r="AE6" i="7"/>
  <c r="AD6" i="7"/>
  <c r="AC6" i="7"/>
  <c r="AB6" i="7"/>
  <c r="AA6" i="7"/>
  <c r="Z6" i="7"/>
  <c r="Y6" i="7"/>
  <c r="X6" i="7"/>
  <c r="W6" i="7"/>
  <c r="V6" i="7"/>
  <c r="U6" i="7"/>
  <c r="T6" i="7"/>
  <c r="S6" i="7"/>
  <c r="R6" i="7"/>
  <c r="Q6" i="7"/>
  <c r="P6" i="7"/>
  <c r="O6" i="7"/>
  <c r="N6" i="7"/>
  <c r="M6" i="7"/>
  <c r="L6" i="7"/>
  <c r="K6" i="7"/>
  <c r="J6" i="7"/>
  <c r="I6" i="7"/>
  <c r="H6" i="7"/>
  <c r="G6" i="7"/>
  <c r="F6" i="7"/>
  <c r="E6" i="7"/>
  <c r="D6" i="7"/>
  <c r="BM5" i="7"/>
  <c r="BL5" i="7"/>
  <c r="BK5" i="7"/>
  <c r="BJ5" i="7"/>
  <c r="BI5" i="7"/>
  <c r="BH5" i="7"/>
  <c r="BG5" i="7"/>
  <c r="BF5" i="7"/>
  <c r="BE5" i="7"/>
  <c r="BD5" i="7"/>
  <c r="BC5" i="7"/>
  <c r="BB5" i="7"/>
  <c r="BA5" i="7"/>
  <c r="AZ5" i="7"/>
  <c r="AY5" i="7"/>
  <c r="AX5" i="7"/>
  <c r="AW5" i="7"/>
  <c r="AV5" i="7"/>
  <c r="AU5" i="7"/>
  <c r="AT5" i="7"/>
  <c r="AS5" i="7"/>
  <c r="AR5" i="7"/>
  <c r="AQ5" i="7"/>
  <c r="AP5" i="7"/>
  <c r="AO5" i="7"/>
  <c r="AN5" i="7"/>
  <c r="AM5" i="7"/>
  <c r="AL5" i="7"/>
  <c r="AK5" i="7"/>
  <c r="AJ5" i="7"/>
  <c r="AI5" i="7"/>
  <c r="AH5" i="7"/>
  <c r="AG5" i="7"/>
  <c r="AF5" i="7"/>
  <c r="AE5" i="7"/>
  <c r="AD5" i="7"/>
  <c r="AC5" i="7"/>
  <c r="AB5" i="7"/>
  <c r="AA5" i="7"/>
  <c r="Z5" i="7"/>
  <c r="Y5" i="7"/>
  <c r="X5" i="7"/>
  <c r="W5" i="7"/>
  <c r="V5" i="7"/>
  <c r="U5" i="7"/>
  <c r="T5" i="7"/>
  <c r="S5" i="7"/>
  <c r="R5" i="7"/>
  <c r="Q5" i="7"/>
  <c r="P5" i="7"/>
  <c r="O5" i="7"/>
  <c r="N5" i="7"/>
  <c r="M5" i="7"/>
  <c r="L5" i="7"/>
  <c r="K5" i="7"/>
  <c r="J5" i="7"/>
  <c r="I5" i="7"/>
  <c r="H5" i="7"/>
  <c r="G5" i="7"/>
  <c r="F5" i="7"/>
  <c r="E5" i="7"/>
  <c r="D5" i="7"/>
  <c r="N14" i="6"/>
  <c r="J14" i="6"/>
  <c r="C14" i="6"/>
  <c r="B14" i="6"/>
  <c r="N13" i="6"/>
  <c r="J13" i="6"/>
  <c r="C13" i="6"/>
  <c r="B13" i="6"/>
  <c r="N12" i="6"/>
  <c r="J12" i="6"/>
  <c r="C12" i="6"/>
  <c r="B12" i="6"/>
  <c r="N11" i="6"/>
  <c r="J11" i="6"/>
  <c r="C11" i="6"/>
  <c r="B11" i="6"/>
  <c r="N10" i="6"/>
  <c r="J10" i="6"/>
  <c r="C10" i="6"/>
  <c r="B10" i="6"/>
  <c r="N9" i="6"/>
  <c r="J9" i="6"/>
  <c r="C9" i="6"/>
  <c r="B9" i="6"/>
  <c r="R8" i="6"/>
  <c r="S8" i="6" s="1"/>
  <c r="N8" i="6"/>
  <c r="J8" i="6"/>
  <c r="C8" i="6"/>
  <c r="B8" i="6"/>
  <c r="N7" i="6"/>
  <c r="J7" i="6"/>
  <c r="C7" i="6"/>
  <c r="B7" i="6"/>
  <c r="N6" i="6"/>
  <c r="J6" i="6"/>
  <c r="C6" i="6"/>
  <c r="B6" i="6"/>
  <c r="N5" i="6"/>
  <c r="J5" i="6"/>
  <c r="C5" i="6"/>
  <c r="B5" i="6"/>
  <c r="D2" i="6"/>
  <c r="T20" i="5"/>
  <c r="S20" i="5"/>
  <c r="T19" i="5"/>
  <c r="S19" i="5"/>
  <c r="T18" i="5"/>
  <c r="S18" i="5"/>
  <c r="T17" i="5"/>
  <c r="S17" i="5"/>
  <c r="T16" i="5"/>
  <c r="S16" i="5"/>
  <c r="T15" i="5"/>
  <c r="S15" i="5"/>
  <c r="U14" i="5"/>
  <c r="T14" i="5"/>
  <c r="S14" i="5"/>
  <c r="K14" i="5"/>
  <c r="T13" i="5"/>
  <c r="S13" i="5"/>
  <c r="K13" i="5"/>
  <c r="T12" i="5"/>
  <c r="S12" i="5"/>
  <c r="T11" i="5"/>
  <c r="S11" i="5"/>
  <c r="V67" i="4"/>
  <c r="T67" i="4"/>
  <c r="S67" i="4"/>
  <c r="R67" i="4"/>
  <c r="Q67" i="4"/>
  <c r="P67" i="4"/>
  <c r="O67" i="4"/>
  <c r="N67" i="4"/>
  <c r="M67" i="4"/>
  <c r="L67" i="4"/>
  <c r="K67" i="4"/>
  <c r="J67" i="4"/>
  <c r="I67" i="4"/>
  <c r="F67" i="4"/>
  <c r="E67" i="4"/>
  <c r="V66" i="4"/>
  <c r="T66" i="4"/>
  <c r="S66" i="4"/>
  <c r="R66" i="4"/>
  <c r="Q66" i="4"/>
  <c r="P66" i="4"/>
  <c r="O66" i="4"/>
  <c r="N66" i="4"/>
  <c r="M66" i="4"/>
  <c r="L66" i="4"/>
  <c r="K66" i="4"/>
  <c r="J66" i="4"/>
  <c r="I66" i="4"/>
  <c r="F66" i="4"/>
  <c r="E66" i="4"/>
  <c r="V65" i="4"/>
  <c r="T65" i="4"/>
  <c r="S65" i="4"/>
  <c r="R65" i="4"/>
  <c r="Q65" i="4"/>
  <c r="P65" i="4"/>
  <c r="O65" i="4"/>
  <c r="N65" i="4"/>
  <c r="M65" i="4"/>
  <c r="L65" i="4"/>
  <c r="K65" i="4"/>
  <c r="J65" i="4"/>
  <c r="I65" i="4"/>
  <c r="F65" i="4"/>
  <c r="E65" i="4"/>
  <c r="V64" i="4"/>
  <c r="T64" i="4"/>
  <c r="S64" i="4"/>
  <c r="R64" i="4"/>
  <c r="Q64" i="4"/>
  <c r="P64" i="4"/>
  <c r="O64" i="4"/>
  <c r="N64" i="4"/>
  <c r="M64" i="4"/>
  <c r="L64" i="4"/>
  <c r="K64" i="4"/>
  <c r="J64" i="4"/>
  <c r="I64" i="4"/>
  <c r="F64" i="4"/>
  <c r="E64" i="4"/>
  <c r="V63" i="4"/>
  <c r="T63" i="4"/>
  <c r="S63" i="4"/>
  <c r="R63" i="4"/>
  <c r="Q63" i="4"/>
  <c r="P63" i="4"/>
  <c r="O63" i="4"/>
  <c r="N63" i="4"/>
  <c r="M63" i="4"/>
  <c r="L63" i="4"/>
  <c r="K63" i="4"/>
  <c r="J63" i="4"/>
  <c r="I63" i="4"/>
  <c r="F63" i="4"/>
  <c r="E63" i="4"/>
  <c r="V62" i="4"/>
  <c r="T62" i="4"/>
  <c r="S62" i="4"/>
  <c r="R62" i="4"/>
  <c r="Q62" i="4"/>
  <c r="P62" i="4"/>
  <c r="O62" i="4"/>
  <c r="N62" i="4"/>
  <c r="M62" i="4"/>
  <c r="L62" i="4"/>
  <c r="K62" i="4"/>
  <c r="J62" i="4"/>
  <c r="I62" i="4"/>
  <c r="F62" i="4"/>
  <c r="E62" i="4"/>
  <c r="V61" i="4"/>
  <c r="T61" i="4"/>
  <c r="S61" i="4"/>
  <c r="R61" i="4"/>
  <c r="Q61" i="4"/>
  <c r="P61" i="4"/>
  <c r="O61" i="4"/>
  <c r="N61" i="4"/>
  <c r="M61" i="4"/>
  <c r="L61" i="4"/>
  <c r="K61" i="4"/>
  <c r="J61" i="4"/>
  <c r="I61" i="4"/>
  <c r="F61" i="4"/>
  <c r="E61" i="4"/>
  <c r="V60" i="4"/>
  <c r="T60" i="4"/>
  <c r="S60" i="4"/>
  <c r="R60" i="4"/>
  <c r="Q60" i="4"/>
  <c r="P60" i="4"/>
  <c r="O60" i="4"/>
  <c r="N60" i="4"/>
  <c r="M60" i="4"/>
  <c r="L60" i="4"/>
  <c r="K60" i="4"/>
  <c r="J60" i="4"/>
  <c r="I60" i="4"/>
  <c r="F60" i="4"/>
  <c r="E60" i="4"/>
  <c r="V59" i="4"/>
  <c r="T59" i="4"/>
  <c r="S59" i="4"/>
  <c r="R59" i="4"/>
  <c r="Q59" i="4"/>
  <c r="P59" i="4"/>
  <c r="O59" i="4"/>
  <c r="N59" i="4"/>
  <c r="M59" i="4"/>
  <c r="L59" i="4"/>
  <c r="K59" i="4"/>
  <c r="J59" i="4"/>
  <c r="I59" i="4"/>
  <c r="F59" i="4"/>
  <c r="E59" i="4"/>
  <c r="V58" i="4"/>
  <c r="T58" i="4"/>
  <c r="S58" i="4"/>
  <c r="R58" i="4"/>
  <c r="Q58" i="4"/>
  <c r="P58" i="4"/>
  <c r="O58" i="4"/>
  <c r="N58" i="4"/>
  <c r="M58" i="4"/>
  <c r="L58" i="4"/>
  <c r="K58" i="4"/>
  <c r="J58" i="4"/>
  <c r="I58" i="4"/>
  <c r="F58" i="4"/>
  <c r="E58" i="4"/>
  <c r="V57" i="4"/>
  <c r="T57" i="4"/>
  <c r="S57" i="4"/>
  <c r="R57" i="4"/>
  <c r="Q57" i="4"/>
  <c r="P57" i="4"/>
  <c r="O57" i="4"/>
  <c r="N57" i="4"/>
  <c r="M57" i="4"/>
  <c r="L57" i="4"/>
  <c r="K57" i="4"/>
  <c r="J57" i="4"/>
  <c r="I57" i="4"/>
  <c r="F57" i="4"/>
  <c r="E57" i="4"/>
  <c r="V56" i="4"/>
  <c r="T56" i="4"/>
  <c r="S56" i="4"/>
  <c r="R56" i="4"/>
  <c r="Q56" i="4"/>
  <c r="P56" i="4"/>
  <c r="O56" i="4"/>
  <c r="N56" i="4"/>
  <c r="M56" i="4"/>
  <c r="L56" i="4"/>
  <c r="K56" i="4"/>
  <c r="J56" i="4"/>
  <c r="I56" i="4"/>
  <c r="F56" i="4"/>
  <c r="E56" i="4"/>
  <c r="AR55" i="4"/>
  <c r="V55" i="4"/>
  <c r="T55" i="4"/>
  <c r="S55" i="4"/>
  <c r="R55" i="4"/>
  <c r="Q55" i="4"/>
  <c r="P55" i="4"/>
  <c r="O55" i="4"/>
  <c r="N55" i="4"/>
  <c r="M55" i="4"/>
  <c r="L55" i="4"/>
  <c r="K55" i="4"/>
  <c r="J55" i="4"/>
  <c r="I55" i="4"/>
  <c r="F55" i="4"/>
  <c r="E55" i="4"/>
  <c r="V54" i="4"/>
  <c r="T54" i="4"/>
  <c r="S54" i="4"/>
  <c r="R54" i="4"/>
  <c r="Q54" i="4"/>
  <c r="P54" i="4"/>
  <c r="O54" i="4"/>
  <c r="N54" i="4"/>
  <c r="M54" i="4"/>
  <c r="L54" i="4"/>
  <c r="K54" i="4"/>
  <c r="J54" i="4"/>
  <c r="I54" i="4"/>
  <c r="F54" i="4"/>
  <c r="E54" i="4"/>
  <c r="V53" i="4"/>
  <c r="T53" i="4"/>
  <c r="S53" i="4"/>
  <c r="R53" i="4"/>
  <c r="Q53" i="4"/>
  <c r="P53" i="4"/>
  <c r="O53" i="4"/>
  <c r="N53" i="4"/>
  <c r="M53" i="4"/>
  <c r="L53" i="4"/>
  <c r="K53" i="4"/>
  <c r="J53" i="4"/>
  <c r="I53" i="4"/>
  <c r="F53" i="4"/>
  <c r="E53" i="4"/>
  <c r="AS52" i="4"/>
  <c r="AR52" i="4"/>
  <c r="AQ52" i="4"/>
  <c r="V52" i="4"/>
  <c r="T52" i="4"/>
  <c r="S52" i="4"/>
  <c r="R52" i="4"/>
  <c r="Q52" i="4"/>
  <c r="P52" i="4"/>
  <c r="O52" i="4"/>
  <c r="N52" i="4"/>
  <c r="M52" i="4"/>
  <c r="L52" i="4"/>
  <c r="K52" i="4"/>
  <c r="J52" i="4"/>
  <c r="I52" i="4"/>
  <c r="F52" i="4"/>
  <c r="E52" i="4"/>
  <c r="AR51" i="4"/>
  <c r="AQ51" i="4"/>
  <c r="V51" i="4"/>
  <c r="T51" i="4"/>
  <c r="S51" i="4"/>
  <c r="R51" i="4"/>
  <c r="Q51" i="4"/>
  <c r="P51" i="4"/>
  <c r="O51" i="4"/>
  <c r="N51" i="4"/>
  <c r="M51" i="4"/>
  <c r="L51" i="4"/>
  <c r="K51" i="4"/>
  <c r="J51" i="4"/>
  <c r="I51" i="4"/>
  <c r="F51" i="4"/>
  <c r="E51" i="4"/>
  <c r="V50" i="4"/>
  <c r="T50" i="4"/>
  <c r="S50" i="4"/>
  <c r="R50" i="4"/>
  <c r="Q50" i="4"/>
  <c r="P50" i="4"/>
  <c r="O50" i="4"/>
  <c r="N50" i="4"/>
  <c r="M50" i="4"/>
  <c r="L50" i="4"/>
  <c r="K50" i="4"/>
  <c r="J50" i="4"/>
  <c r="I50" i="4"/>
  <c r="F50" i="4"/>
  <c r="E50" i="4"/>
  <c r="V49" i="4"/>
  <c r="T49" i="4"/>
  <c r="S49" i="4"/>
  <c r="R49" i="4"/>
  <c r="Q49" i="4"/>
  <c r="P49" i="4"/>
  <c r="O49" i="4"/>
  <c r="N49" i="4"/>
  <c r="M49" i="4"/>
  <c r="L49" i="4"/>
  <c r="K49" i="4"/>
  <c r="J49" i="4"/>
  <c r="I49" i="4"/>
  <c r="F49" i="4"/>
  <c r="E49" i="4"/>
  <c r="V48" i="4"/>
  <c r="T48" i="4"/>
  <c r="S48" i="4"/>
  <c r="R48" i="4"/>
  <c r="Q48" i="4"/>
  <c r="P48" i="4"/>
  <c r="O48" i="4"/>
  <c r="N48" i="4"/>
  <c r="M48" i="4"/>
  <c r="L48" i="4"/>
  <c r="K48" i="4"/>
  <c r="J48" i="4"/>
  <c r="I48" i="4"/>
  <c r="F48" i="4"/>
  <c r="E48" i="4"/>
  <c r="V47" i="4"/>
  <c r="T47" i="4"/>
  <c r="S47" i="4"/>
  <c r="R47" i="4"/>
  <c r="Q47" i="4"/>
  <c r="P47" i="4"/>
  <c r="O47" i="4"/>
  <c r="N47" i="4"/>
  <c r="M47" i="4"/>
  <c r="L47" i="4"/>
  <c r="K47" i="4"/>
  <c r="J47" i="4"/>
  <c r="I47" i="4"/>
  <c r="F47" i="4"/>
  <c r="E47" i="4"/>
  <c r="V46" i="4"/>
  <c r="T46" i="4"/>
  <c r="S46" i="4"/>
  <c r="R46" i="4"/>
  <c r="Q46" i="4"/>
  <c r="P46" i="4"/>
  <c r="O46" i="4"/>
  <c r="N46" i="4"/>
  <c r="M46" i="4"/>
  <c r="L46" i="4"/>
  <c r="K46" i="4"/>
  <c r="J46" i="4"/>
  <c r="I46" i="4"/>
  <c r="F46" i="4"/>
  <c r="E46" i="4"/>
  <c r="V45" i="4"/>
  <c r="T45" i="4"/>
  <c r="S45" i="4"/>
  <c r="R45" i="4"/>
  <c r="Q45" i="4"/>
  <c r="P45" i="4"/>
  <c r="O45" i="4"/>
  <c r="N45" i="4"/>
  <c r="M45" i="4"/>
  <c r="L45" i="4"/>
  <c r="K45" i="4"/>
  <c r="J45" i="4"/>
  <c r="I45" i="4"/>
  <c r="F45" i="4"/>
  <c r="E45" i="4"/>
  <c r="V44" i="4"/>
  <c r="T44" i="4"/>
  <c r="S44" i="4"/>
  <c r="R44" i="4"/>
  <c r="Q44" i="4"/>
  <c r="P44" i="4"/>
  <c r="O44" i="4"/>
  <c r="N44" i="4"/>
  <c r="M44" i="4"/>
  <c r="L44" i="4"/>
  <c r="K44" i="4"/>
  <c r="J44" i="4"/>
  <c r="I44" i="4"/>
  <c r="F44" i="4"/>
  <c r="E44" i="4"/>
  <c r="V43" i="4"/>
  <c r="T43" i="4"/>
  <c r="S43" i="4"/>
  <c r="R43" i="4"/>
  <c r="Q43" i="4"/>
  <c r="P43" i="4"/>
  <c r="O43" i="4"/>
  <c r="N43" i="4"/>
  <c r="M43" i="4"/>
  <c r="L43" i="4"/>
  <c r="K43" i="4"/>
  <c r="J43" i="4"/>
  <c r="I43" i="4"/>
  <c r="F43" i="4"/>
  <c r="E43" i="4"/>
  <c r="V42" i="4"/>
  <c r="T42" i="4"/>
  <c r="S42" i="4"/>
  <c r="R42" i="4"/>
  <c r="Q42" i="4"/>
  <c r="P42" i="4"/>
  <c r="O42" i="4"/>
  <c r="N42" i="4"/>
  <c r="M42" i="4"/>
  <c r="L42" i="4"/>
  <c r="K42" i="4"/>
  <c r="J42" i="4"/>
  <c r="I42" i="4"/>
  <c r="F42" i="4"/>
  <c r="E42" i="4"/>
  <c r="AY41" i="4"/>
  <c r="AT41" i="4"/>
  <c r="AS41" i="4"/>
  <c r="AR41" i="4"/>
  <c r="AQ41" i="4"/>
  <c r="AP41" i="4"/>
  <c r="V41" i="4"/>
  <c r="T41" i="4"/>
  <c r="S41" i="4"/>
  <c r="R41" i="4"/>
  <c r="Q41" i="4"/>
  <c r="P41" i="4"/>
  <c r="O41" i="4"/>
  <c r="N41" i="4"/>
  <c r="M41" i="4"/>
  <c r="L41" i="4"/>
  <c r="K41" i="4"/>
  <c r="J41" i="4"/>
  <c r="I41" i="4"/>
  <c r="F41" i="4"/>
  <c r="E41" i="4"/>
  <c r="AY40" i="4"/>
  <c r="AT40" i="4"/>
  <c r="AS40" i="4"/>
  <c r="AR40" i="4"/>
  <c r="AQ40" i="4"/>
  <c r="AP40" i="4"/>
  <c r="V40" i="4"/>
  <c r="T40" i="4"/>
  <c r="S40" i="4"/>
  <c r="R40" i="4"/>
  <c r="Q40" i="4"/>
  <c r="P40" i="4"/>
  <c r="O40" i="4"/>
  <c r="N40" i="4"/>
  <c r="M40" i="4"/>
  <c r="L40" i="4"/>
  <c r="K40" i="4"/>
  <c r="J40" i="4"/>
  <c r="I40" i="4"/>
  <c r="F40" i="4"/>
  <c r="E40" i="4"/>
  <c r="AY39" i="4"/>
  <c r="AT39" i="4"/>
  <c r="AS39" i="4"/>
  <c r="AR39" i="4"/>
  <c r="AQ39" i="4"/>
  <c r="AP39" i="4"/>
  <c r="BC24" i="4" s="1"/>
  <c r="BC29" i="4" s="1"/>
  <c r="V39" i="4"/>
  <c r="T39" i="4"/>
  <c r="S39" i="4"/>
  <c r="R39" i="4"/>
  <c r="Q39" i="4"/>
  <c r="P39" i="4"/>
  <c r="O39" i="4"/>
  <c r="N39" i="4"/>
  <c r="M39" i="4"/>
  <c r="L39" i="4"/>
  <c r="K39" i="4"/>
  <c r="J39" i="4"/>
  <c r="I39" i="4"/>
  <c r="F39" i="4"/>
  <c r="E39" i="4"/>
  <c r="AY38" i="4"/>
  <c r="AT38" i="4"/>
  <c r="AS38" i="4"/>
  <c r="AR38" i="4"/>
  <c r="AQ38" i="4"/>
  <c r="AP38" i="4"/>
  <c r="AT52" i="4" s="1"/>
  <c r="V38" i="4"/>
  <c r="T38" i="4"/>
  <c r="S38" i="4"/>
  <c r="R38" i="4"/>
  <c r="Q38" i="4"/>
  <c r="P38" i="4"/>
  <c r="O38" i="4"/>
  <c r="N38" i="4"/>
  <c r="M38" i="4"/>
  <c r="L38" i="4"/>
  <c r="K38" i="4"/>
  <c r="J38" i="4"/>
  <c r="I38" i="4"/>
  <c r="F38" i="4"/>
  <c r="E38" i="4"/>
  <c r="AT37" i="4"/>
  <c r="AS37" i="4"/>
  <c r="AR37" i="4"/>
  <c r="AQ37" i="4"/>
  <c r="AP37" i="4"/>
  <c r="V37" i="4"/>
  <c r="T37" i="4"/>
  <c r="AH8" i="4" s="1"/>
  <c r="S37" i="4"/>
  <c r="R37" i="4"/>
  <c r="Q37" i="4"/>
  <c r="P37" i="4"/>
  <c r="O37" i="4"/>
  <c r="N37" i="4"/>
  <c r="M37" i="4"/>
  <c r="AE7" i="4" s="1"/>
  <c r="L37" i="4"/>
  <c r="AD8" i="4" s="1"/>
  <c r="K37" i="4"/>
  <c r="J37" i="4"/>
  <c r="I37" i="4"/>
  <c r="F37" i="4"/>
  <c r="E37" i="4"/>
  <c r="V36" i="4"/>
  <c r="T36" i="4"/>
  <c r="S36" i="4"/>
  <c r="R36" i="4"/>
  <c r="Q36" i="4"/>
  <c r="P36" i="4"/>
  <c r="O36" i="4"/>
  <c r="N36" i="4"/>
  <c r="M36" i="4"/>
  <c r="L36" i="4"/>
  <c r="K36" i="4"/>
  <c r="J36" i="4"/>
  <c r="I36" i="4"/>
  <c r="F36" i="4"/>
  <c r="E36" i="4"/>
  <c r="BG35" i="4"/>
  <c r="BE35" i="4"/>
  <c r="BC35" i="4"/>
  <c r="BA35" i="4"/>
  <c r="AY35" i="4"/>
  <c r="V35" i="4"/>
  <c r="T35" i="4"/>
  <c r="S35" i="4"/>
  <c r="R35" i="4"/>
  <c r="Q35" i="4"/>
  <c r="P35" i="4"/>
  <c r="O35" i="4"/>
  <c r="N35" i="4"/>
  <c r="M35" i="4"/>
  <c r="L35" i="4"/>
  <c r="K35" i="4"/>
  <c r="J35" i="4"/>
  <c r="I35" i="4"/>
  <c r="F35" i="4"/>
  <c r="E35" i="4"/>
  <c r="V34" i="4"/>
  <c r="T34" i="4"/>
  <c r="S34" i="4"/>
  <c r="R34" i="4"/>
  <c r="Q34" i="4"/>
  <c r="P34" i="4"/>
  <c r="O34" i="4"/>
  <c r="N34" i="4"/>
  <c r="M34" i="4"/>
  <c r="L34" i="4"/>
  <c r="K34" i="4"/>
  <c r="J34" i="4"/>
  <c r="I34" i="4"/>
  <c r="F34" i="4"/>
  <c r="E34" i="4"/>
  <c r="AO33" i="4"/>
  <c r="AN33" i="4"/>
  <c r="V33" i="4"/>
  <c r="T33" i="4"/>
  <c r="S33" i="4"/>
  <c r="R33" i="4"/>
  <c r="Q33" i="4"/>
  <c r="P33" i="4"/>
  <c r="O33" i="4"/>
  <c r="N33" i="4"/>
  <c r="M33" i="4"/>
  <c r="L33" i="4"/>
  <c r="K33" i="4"/>
  <c r="J33" i="4"/>
  <c r="I33" i="4"/>
  <c r="F33" i="4"/>
  <c r="E33" i="4"/>
  <c r="AO32" i="4"/>
  <c r="AN32" i="4"/>
  <c r="V32" i="4"/>
  <c r="T32" i="4"/>
  <c r="S32" i="4"/>
  <c r="R32" i="4"/>
  <c r="Q32" i="4"/>
  <c r="P32" i="4"/>
  <c r="O32" i="4"/>
  <c r="N32" i="4"/>
  <c r="M32" i="4"/>
  <c r="L32" i="4"/>
  <c r="K32" i="4"/>
  <c r="J32" i="4"/>
  <c r="I32" i="4"/>
  <c r="F32" i="4"/>
  <c r="E32" i="4"/>
  <c r="AO31" i="4"/>
  <c r="AN31" i="4"/>
  <c r="V31" i="4"/>
  <c r="T31" i="4"/>
  <c r="S31" i="4"/>
  <c r="R31" i="4"/>
  <c r="Q31" i="4"/>
  <c r="P31" i="4"/>
  <c r="O31" i="4"/>
  <c r="N31" i="4"/>
  <c r="M31" i="4"/>
  <c r="L31" i="4"/>
  <c r="K31" i="4"/>
  <c r="J31" i="4"/>
  <c r="I31" i="4"/>
  <c r="F31" i="4"/>
  <c r="E31" i="4"/>
  <c r="AN30" i="4"/>
  <c r="AO30" i="4" s="1"/>
  <c r="H6" i="3" s="1"/>
  <c r="V30" i="4"/>
  <c r="T30" i="4"/>
  <c r="S30" i="4"/>
  <c r="R30" i="4"/>
  <c r="Q30" i="4"/>
  <c r="P30" i="4"/>
  <c r="O30" i="4"/>
  <c r="N30" i="4"/>
  <c r="M30" i="4"/>
  <c r="L30" i="4"/>
  <c r="K30" i="4"/>
  <c r="J30" i="4"/>
  <c r="I30" i="4"/>
  <c r="F30" i="4"/>
  <c r="E30" i="4"/>
  <c r="BE29" i="4"/>
  <c r="BF29" i="4" s="1"/>
  <c r="BD29" i="4"/>
  <c r="AO29" i="4"/>
  <c r="H5" i="3" s="1"/>
  <c r="AN29" i="4"/>
  <c r="V29" i="4"/>
  <c r="T29" i="4"/>
  <c r="S29" i="4"/>
  <c r="R29" i="4"/>
  <c r="Q29" i="4"/>
  <c r="P29" i="4"/>
  <c r="O29" i="4"/>
  <c r="N29" i="4"/>
  <c r="M29" i="4"/>
  <c r="L29" i="4"/>
  <c r="K29" i="4"/>
  <c r="J29" i="4"/>
  <c r="I29" i="4"/>
  <c r="F29" i="4"/>
  <c r="E29" i="4"/>
  <c r="V28" i="4"/>
  <c r="T28" i="4"/>
  <c r="S28" i="4"/>
  <c r="R28" i="4"/>
  <c r="Q28" i="4"/>
  <c r="P28" i="4"/>
  <c r="O28" i="4"/>
  <c r="N28" i="4"/>
  <c r="M28" i="4"/>
  <c r="L28" i="4"/>
  <c r="K28" i="4"/>
  <c r="J28" i="4"/>
  <c r="I28" i="4"/>
  <c r="F28" i="4"/>
  <c r="E28" i="4"/>
  <c r="AY27" i="4"/>
  <c r="V27" i="4"/>
  <c r="T27" i="4"/>
  <c r="S27" i="4"/>
  <c r="R27" i="4"/>
  <c r="Q27" i="4"/>
  <c r="P27" i="4"/>
  <c r="O27" i="4"/>
  <c r="N27" i="4"/>
  <c r="M27" i="4"/>
  <c r="L27" i="4"/>
  <c r="K27" i="4"/>
  <c r="J27" i="4"/>
  <c r="I27" i="4"/>
  <c r="F27" i="4"/>
  <c r="E27" i="4"/>
  <c r="AN26" i="4"/>
  <c r="V26" i="4"/>
  <c r="T26" i="4"/>
  <c r="S26" i="4"/>
  <c r="R26" i="4"/>
  <c r="Q26" i="4"/>
  <c r="P26" i="4"/>
  <c r="O26" i="4"/>
  <c r="N26" i="4"/>
  <c r="M26" i="4"/>
  <c r="L26" i="4"/>
  <c r="K26" i="4"/>
  <c r="J26" i="4"/>
  <c r="I26" i="4"/>
  <c r="F26" i="4"/>
  <c r="E26" i="4"/>
  <c r="AN25" i="4"/>
  <c r="V25" i="4"/>
  <c r="T25" i="4"/>
  <c r="S25" i="4"/>
  <c r="R25" i="4"/>
  <c r="Q25" i="4"/>
  <c r="P25" i="4"/>
  <c r="O25" i="4"/>
  <c r="N25" i="4"/>
  <c r="M25" i="4"/>
  <c r="L25" i="4"/>
  <c r="K25" i="4"/>
  <c r="J25" i="4"/>
  <c r="I25" i="4"/>
  <c r="F25" i="4"/>
  <c r="E25" i="4"/>
  <c r="BF24" i="4"/>
  <c r="BE24" i="4"/>
  <c r="BB24" i="4"/>
  <c r="BA24" i="4"/>
  <c r="BA29" i="4" s="1"/>
  <c r="AN24" i="4"/>
  <c r="V24" i="4"/>
  <c r="T24" i="4"/>
  <c r="S24" i="4"/>
  <c r="R24" i="4"/>
  <c r="Q24" i="4"/>
  <c r="P24" i="4"/>
  <c r="O24" i="4"/>
  <c r="N24" i="4"/>
  <c r="M24" i="4"/>
  <c r="L24" i="4"/>
  <c r="K24" i="4"/>
  <c r="J24" i="4"/>
  <c r="I24" i="4"/>
  <c r="F24" i="4"/>
  <c r="E24" i="4"/>
  <c r="AN23" i="4"/>
  <c r="V23" i="4"/>
  <c r="T23" i="4"/>
  <c r="S23" i="4"/>
  <c r="R23" i="4"/>
  <c r="Q23" i="4"/>
  <c r="P23" i="4"/>
  <c r="O23" i="4"/>
  <c r="N23" i="4"/>
  <c r="M23" i="4"/>
  <c r="L23" i="4"/>
  <c r="K23" i="4"/>
  <c r="J23" i="4"/>
  <c r="I23" i="4"/>
  <c r="F23" i="4"/>
  <c r="E23" i="4"/>
  <c r="AZ22" i="4"/>
  <c r="AY22" i="4"/>
  <c r="AN22" i="4"/>
  <c r="V22" i="4"/>
  <c r="T22" i="4"/>
  <c r="S22" i="4"/>
  <c r="R22" i="4"/>
  <c r="Q22" i="4"/>
  <c r="P22" i="4"/>
  <c r="O22" i="4"/>
  <c r="N22" i="4"/>
  <c r="M22" i="4"/>
  <c r="L22" i="4"/>
  <c r="K22" i="4"/>
  <c r="J22" i="4"/>
  <c r="I22" i="4"/>
  <c r="F22" i="4"/>
  <c r="E22" i="4"/>
  <c r="V21" i="4"/>
  <c r="T21" i="4"/>
  <c r="S21" i="4"/>
  <c r="R21" i="4"/>
  <c r="Q21" i="4"/>
  <c r="P21" i="4"/>
  <c r="O21" i="4"/>
  <c r="N21" i="4"/>
  <c r="M21" i="4"/>
  <c r="L21" i="4"/>
  <c r="K21" i="4"/>
  <c r="J21" i="4"/>
  <c r="I21" i="4"/>
  <c r="F21" i="4"/>
  <c r="E21" i="4"/>
  <c r="V20" i="4"/>
  <c r="T20" i="4"/>
  <c r="S20" i="4"/>
  <c r="R20" i="4"/>
  <c r="Q20" i="4"/>
  <c r="P20" i="4"/>
  <c r="O20" i="4"/>
  <c r="N20" i="4"/>
  <c r="M20" i="4"/>
  <c r="L20" i="4"/>
  <c r="K20" i="4"/>
  <c r="J20" i="4"/>
  <c r="I20" i="4"/>
  <c r="F20" i="4"/>
  <c r="E20" i="4"/>
  <c r="V19" i="4"/>
  <c r="T19" i="4"/>
  <c r="S19" i="4"/>
  <c r="R19" i="4"/>
  <c r="Q19" i="4"/>
  <c r="P19" i="4"/>
  <c r="O19" i="4"/>
  <c r="N19" i="4"/>
  <c r="M19" i="4"/>
  <c r="L19" i="4"/>
  <c r="K19" i="4"/>
  <c r="J19" i="4"/>
  <c r="I19" i="4"/>
  <c r="F19" i="4"/>
  <c r="E19" i="4"/>
  <c r="V18" i="4"/>
  <c r="T18" i="4"/>
  <c r="S18" i="4"/>
  <c r="R18" i="4"/>
  <c r="Q18" i="4"/>
  <c r="P18" i="4"/>
  <c r="O18" i="4"/>
  <c r="N18" i="4"/>
  <c r="M18" i="4"/>
  <c r="L18" i="4"/>
  <c r="K18" i="4"/>
  <c r="J18" i="4"/>
  <c r="I18" i="4"/>
  <c r="F18" i="4"/>
  <c r="E18" i="4"/>
  <c r="V17" i="4"/>
  <c r="T17" i="4"/>
  <c r="S17" i="4"/>
  <c r="R17" i="4"/>
  <c r="Q17" i="4"/>
  <c r="P17" i="4"/>
  <c r="O17" i="4"/>
  <c r="N17" i="4"/>
  <c r="M17" i="4"/>
  <c r="L17" i="4"/>
  <c r="K17" i="4"/>
  <c r="J17" i="4"/>
  <c r="I17" i="4"/>
  <c r="F17" i="4"/>
  <c r="E17" i="4"/>
  <c r="AX16" i="4"/>
  <c r="AM16" i="4"/>
  <c r="AO16" i="4" s="1"/>
  <c r="AK16" i="4"/>
  <c r="AG16" i="4"/>
  <c r="AF16" i="4"/>
  <c r="AE16" i="4"/>
  <c r="V16" i="4"/>
  <c r="T16" i="4"/>
  <c r="S16" i="4"/>
  <c r="R16" i="4"/>
  <c r="Q16" i="4"/>
  <c r="P16" i="4"/>
  <c r="O16" i="4"/>
  <c r="N16" i="4"/>
  <c r="M16" i="4"/>
  <c r="L16" i="4"/>
  <c r="K16" i="4"/>
  <c r="J16" i="4"/>
  <c r="I16" i="4"/>
  <c r="F16" i="4"/>
  <c r="E16" i="4"/>
  <c r="BG15" i="4"/>
  <c r="BH15" i="4" s="1"/>
  <c r="BE15" i="4"/>
  <c r="BF15" i="4" s="1"/>
  <c r="BC15" i="4"/>
  <c r="BD15" i="4" s="1"/>
  <c r="BB15" i="4"/>
  <c r="BA15" i="4"/>
  <c r="AY15" i="4"/>
  <c r="AZ15" i="4" s="1"/>
  <c r="AH15" i="4"/>
  <c r="AG15" i="4"/>
  <c r="AF15" i="4"/>
  <c r="AE15" i="4"/>
  <c r="AD15" i="4"/>
  <c r="V15" i="4"/>
  <c r="T15" i="4"/>
  <c r="S15" i="4"/>
  <c r="R15" i="4"/>
  <c r="Q15" i="4"/>
  <c r="P15" i="4"/>
  <c r="O15" i="4"/>
  <c r="N15" i="4"/>
  <c r="M15" i="4"/>
  <c r="L15" i="4"/>
  <c r="K15" i="4"/>
  <c r="J15" i="4"/>
  <c r="I15" i="4"/>
  <c r="F15" i="4"/>
  <c r="E15" i="4"/>
  <c r="BH14" i="4"/>
  <c r="BG14" i="4"/>
  <c r="BE14" i="4"/>
  <c r="BF14" i="4" s="1"/>
  <c r="BC14" i="4"/>
  <c r="BD14" i="4" s="1"/>
  <c r="BA14" i="4"/>
  <c r="BB14" i="4" s="1"/>
  <c r="AZ14" i="4"/>
  <c r="AY14" i="4"/>
  <c r="V14" i="4"/>
  <c r="T14" i="4"/>
  <c r="S14" i="4"/>
  <c r="R14" i="4"/>
  <c r="Q14" i="4"/>
  <c r="P14" i="4"/>
  <c r="O14" i="4"/>
  <c r="N14" i="4"/>
  <c r="M14" i="4"/>
  <c r="L14" i="4"/>
  <c r="K14" i="4"/>
  <c r="J14" i="4"/>
  <c r="I14" i="4"/>
  <c r="F14" i="4"/>
  <c r="E14" i="4"/>
  <c r="BH13" i="4"/>
  <c r="BG13" i="4"/>
  <c r="BE13" i="4"/>
  <c r="BF13" i="4" s="1"/>
  <c r="BD13" i="4"/>
  <c r="BC13" i="4"/>
  <c r="BA13" i="4"/>
  <c r="BB13" i="4" s="1"/>
  <c r="AZ13" i="4"/>
  <c r="AY13" i="4"/>
  <c r="V13" i="4"/>
  <c r="T13" i="4"/>
  <c r="S13" i="4"/>
  <c r="R13" i="4"/>
  <c r="Q13" i="4"/>
  <c r="P13" i="4"/>
  <c r="O13" i="4"/>
  <c r="N13" i="4"/>
  <c r="M13" i="4"/>
  <c r="L13" i="4"/>
  <c r="K13" i="4"/>
  <c r="J13" i="4"/>
  <c r="I13" i="4"/>
  <c r="F13" i="4"/>
  <c r="E13" i="4"/>
  <c r="BH12" i="4"/>
  <c r="BG12" i="4"/>
  <c r="BF12" i="4"/>
  <c r="BE12" i="4"/>
  <c r="BD12" i="4"/>
  <c r="BC12" i="4"/>
  <c r="BB12" i="4"/>
  <c r="BA12" i="4"/>
  <c r="AZ12" i="4"/>
  <c r="AY12" i="4"/>
  <c r="V12" i="4"/>
  <c r="T12" i="4"/>
  <c r="S12" i="4"/>
  <c r="R12" i="4"/>
  <c r="Q12" i="4"/>
  <c r="P12" i="4"/>
  <c r="O12" i="4"/>
  <c r="N12" i="4"/>
  <c r="M12" i="4"/>
  <c r="L12" i="4"/>
  <c r="K12" i="4"/>
  <c r="J12" i="4"/>
  <c r="I12" i="4"/>
  <c r="F12" i="4"/>
  <c r="E12" i="4"/>
  <c r="BG11" i="4"/>
  <c r="BG16" i="4" s="1"/>
  <c r="BE11" i="4"/>
  <c r="BD11" i="4"/>
  <c r="BC11" i="4"/>
  <c r="BA11" i="4"/>
  <c r="AY11" i="4"/>
  <c r="AY16" i="4" s="1"/>
  <c r="V11" i="4"/>
  <c r="T11" i="4"/>
  <c r="S11" i="4"/>
  <c r="R11" i="4"/>
  <c r="Q11" i="4"/>
  <c r="P11" i="4"/>
  <c r="O11" i="4"/>
  <c r="N11" i="4"/>
  <c r="M11" i="4"/>
  <c r="L11" i="4"/>
  <c r="K11" i="4"/>
  <c r="J11" i="4"/>
  <c r="I11" i="4"/>
  <c r="F11" i="4"/>
  <c r="E11" i="4"/>
  <c r="AL10" i="4"/>
  <c r="AK10" i="4"/>
  <c r="V10" i="4"/>
  <c r="T10" i="4"/>
  <c r="S10" i="4"/>
  <c r="R10" i="4"/>
  <c r="Q10" i="4"/>
  <c r="P10" i="4"/>
  <c r="O10" i="4"/>
  <c r="N10" i="4"/>
  <c r="M10" i="4"/>
  <c r="L10" i="4"/>
  <c r="K10" i="4"/>
  <c r="J10" i="4"/>
  <c r="I10" i="4"/>
  <c r="F10" i="4"/>
  <c r="E10" i="4"/>
  <c r="AM9" i="4"/>
  <c r="AN9" i="4" s="1"/>
  <c r="AL9" i="4"/>
  <c r="AK9" i="4"/>
  <c r="AK18" i="4" s="1"/>
  <c r="AM18" i="4" s="1"/>
  <c r="V9" i="4"/>
  <c r="T9" i="4"/>
  <c r="S9" i="4"/>
  <c r="R9" i="4"/>
  <c r="Q9" i="4"/>
  <c r="P9" i="4"/>
  <c r="O9" i="4"/>
  <c r="N9" i="4"/>
  <c r="M9" i="4"/>
  <c r="L9" i="4"/>
  <c r="K9" i="4"/>
  <c r="J9" i="4"/>
  <c r="I9" i="4"/>
  <c r="F9" i="4"/>
  <c r="E9" i="4"/>
  <c r="AM8" i="4"/>
  <c r="AO8" i="4" s="1"/>
  <c r="AR47" i="4" s="1"/>
  <c r="AL8" i="4"/>
  <c r="AK8" i="4"/>
  <c r="AK17" i="4" s="1"/>
  <c r="AM17" i="4" s="1"/>
  <c r="AG8" i="4"/>
  <c r="AF8" i="4"/>
  <c r="AE8" i="4"/>
  <c r="V8" i="4"/>
  <c r="T8" i="4"/>
  <c r="S8" i="4"/>
  <c r="R8" i="4"/>
  <c r="Q8" i="4"/>
  <c r="P8" i="4"/>
  <c r="O8" i="4"/>
  <c r="N8" i="4"/>
  <c r="M8" i="4"/>
  <c r="L8" i="4"/>
  <c r="K8" i="4"/>
  <c r="J8" i="4"/>
  <c r="I8" i="4"/>
  <c r="F8" i="4"/>
  <c r="E8" i="4"/>
  <c r="AN7" i="4"/>
  <c r="AM7" i="4"/>
  <c r="AO7" i="4" s="1"/>
  <c r="AL7" i="4"/>
  <c r="AK7" i="4"/>
  <c r="AH7" i="4"/>
  <c r="AG7" i="4"/>
  <c r="AF7" i="4"/>
  <c r="AD7" i="4"/>
  <c r="V7" i="4"/>
  <c r="T7" i="4"/>
  <c r="S7" i="4"/>
  <c r="R7" i="4"/>
  <c r="Q7" i="4"/>
  <c r="P7" i="4"/>
  <c r="O7" i="4"/>
  <c r="N7" i="4"/>
  <c r="M7" i="4"/>
  <c r="L7" i="4"/>
  <c r="K7" i="4"/>
  <c r="J7" i="4"/>
  <c r="I7" i="4"/>
  <c r="F7" i="4"/>
  <c r="E7" i="4"/>
  <c r="AO6" i="4"/>
  <c r="AS29" i="4" s="1"/>
  <c r="AN6" i="4"/>
  <c r="AL6" i="4"/>
  <c r="AK15" i="4" s="1"/>
  <c r="AM15" i="4" s="1"/>
  <c r="AK6" i="4"/>
  <c r="AM6" i="4" s="1"/>
  <c r="AH6" i="4"/>
  <c r="AF6" i="4"/>
  <c r="AE6" i="4"/>
  <c r="V6" i="4"/>
  <c r="T6" i="4"/>
  <c r="S6" i="4"/>
  <c r="R6" i="4"/>
  <c r="Q6" i="4"/>
  <c r="P6" i="4"/>
  <c r="O6" i="4"/>
  <c r="N6" i="4"/>
  <c r="M6" i="4"/>
  <c r="L6" i="4"/>
  <c r="K6" i="4"/>
  <c r="J6" i="4"/>
  <c r="I6" i="4"/>
  <c r="F6" i="4"/>
  <c r="E6" i="4"/>
  <c r="AH5" i="4"/>
  <c r="AG5" i="4"/>
  <c r="AF5" i="4"/>
  <c r="AE5" i="4"/>
  <c r="AD5" i="4"/>
  <c r="AG6" i="4" s="1"/>
  <c r="AD2" i="4"/>
  <c r="AH16" i="4" s="1"/>
  <c r="N9" i="3"/>
  <c r="J9" i="3"/>
  <c r="H9" i="3"/>
  <c r="C9" i="3"/>
  <c r="B9" i="3"/>
  <c r="N8" i="3"/>
  <c r="J8" i="3"/>
  <c r="E8" i="3"/>
  <c r="C8" i="3"/>
  <c r="B8" i="3"/>
  <c r="R7" i="3"/>
  <c r="S7" i="3" s="1"/>
  <c r="N7" i="3"/>
  <c r="J7" i="3"/>
  <c r="H7" i="3"/>
  <c r="E7" i="3"/>
  <c r="C7" i="3"/>
  <c r="B7" i="3"/>
  <c r="N6" i="3"/>
  <c r="J6" i="3"/>
  <c r="E6" i="3"/>
  <c r="C6" i="3"/>
  <c r="B6" i="3"/>
  <c r="N5" i="3"/>
  <c r="J5" i="3"/>
  <c r="C5" i="3"/>
  <c r="B5" i="3"/>
  <c r="D2" i="3"/>
  <c r="S38" i="2"/>
  <c r="R38" i="2"/>
  <c r="S37" i="2"/>
  <c r="R37" i="2"/>
  <c r="S36" i="2"/>
  <c r="R36" i="2"/>
  <c r="S35" i="2"/>
  <c r="R35" i="2"/>
  <c r="S34" i="2"/>
  <c r="R34" i="2"/>
  <c r="S33" i="2"/>
  <c r="R33" i="2"/>
  <c r="S32" i="2"/>
  <c r="R32" i="2"/>
  <c r="S31" i="2"/>
  <c r="R31" i="2"/>
  <c r="S30" i="2"/>
  <c r="R30" i="2"/>
  <c r="S29" i="2"/>
  <c r="R29" i="2"/>
  <c r="S28" i="2"/>
  <c r="R28" i="2"/>
  <c r="S27" i="2"/>
  <c r="R27" i="2"/>
  <c r="S26" i="2"/>
  <c r="R26" i="2"/>
  <c r="S25" i="2"/>
  <c r="R25" i="2"/>
  <c r="S24" i="2"/>
  <c r="R24" i="2"/>
  <c r="S23" i="2"/>
  <c r="R23" i="2"/>
  <c r="S22" i="2"/>
  <c r="R22" i="2"/>
  <c r="S21" i="2"/>
  <c r="R21" i="2"/>
  <c r="S20" i="2"/>
  <c r="R20" i="2"/>
  <c r="S19" i="2"/>
  <c r="R19" i="2"/>
  <c r="S18" i="2"/>
  <c r="R18" i="2"/>
  <c r="S17" i="2"/>
  <c r="R17" i="2"/>
  <c r="S16" i="2"/>
  <c r="R16" i="2"/>
  <c r="S15" i="2"/>
  <c r="R15" i="2"/>
  <c r="S14" i="2"/>
  <c r="R14" i="2"/>
  <c r="S13" i="2"/>
  <c r="R13" i="2"/>
  <c r="E63" i="1"/>
  <c r="D63" i="1"/>
  <c r="C63" i="1"/>
  <c r="B63" i="1"/>
  <c r="E62" i="1"/>
  <c r="D62" i="1"/>
  <c r="C62" i="1"/>
  <c r="B62" i="1"/>
  <c r="E61" i="1"/>
  <c r="D61" i="1"/>
  <c r="C61" i="1"/>
  <c r="B61" i="1"/>
  <c r="E60" i="1"/>
  <c r="D60" i="1"/>
  <c r="C60" i="1"/>
  <c r="B60" i="1"/>
  <c r="B59" i="1"/>
  <c r="L56" i="1"/>
  <c r="K56" i="1"/>
  <c r="J56" i="1"/>
  <c r="I56" i="1"/>
  <c r="L55" i="1"/>
  <c r="K55" i="1"/>
  <c r="J55" i="1"/>
  <c r="I55" i="1"/>
  <c r="I51" i="1"/>
  <c r="I50" i="1"/>
  <c r="E30" i="8" l="1"/>
  <c r="F30" i="8" s="1"/>
  <c r="G30" i="8" s="1"/>
  <c r="U18" i="5"/>
  <c r="E20" i="8"/>
  <c r="F20" i="8" s="1"/>
  <c r="G20" i="8" s="1"/>
  <c r="T17" i="2" s="1"/>
  <c r="E24" i="8"/>
  <c r="F24" i="8" s="1"/>
  <c r="G24" i="8" s="1"/>
  <c r="E26" i="8"/>
  <c r="F26" i="8" s="1"/>
  <c r="G26" i="8" s="1"/>
  <c r="R11" i="6"/>
  <c r="S11" i="6" s="1"/>
  <c r="U17" i="5"/>
  <c r="U13" i="5"/>
  <c r="R7" i="6"/>
  <c r="S7" i="6" s="1"/>
  <c r="R8" i="3"/>
  <c r="S8" i="3" s="1"/>
  <c r="T16" i="2"/>
  <c r="E29" i="8"/>
  <c r="F29" i="8" s="1"/>
  <c r="G29" i="8" s="1"/>
  <c r="R9" i="6"/>
  <c r="S9" i="6" s="1"/>
  <c r="E33" i="8"/>
  <c r="F33" i="8" s="1"/>
  <c r="G33" i="8" s="1"/>
  <c r="U19" i="5"/>
  <c r="C16" i="8"/>
  <c r="E16" i="8" s="1"/>
  <c r="F16" i="8" s="1"/>
  <c r="G16" i="8" s="1"/>
  <c r="E17" i="8"/>
  <c r="F17" i="8" s="1"/>
  <c r="G17" i="8" s="1"/>
  <c r="AO15" i="4"/>
  <c r="AN15" i="4"/>
  <c r="BA27" i="4"/>
  <c r="BB27" i="4" s="1"/>
  <c r="AQ56" i="4"/>
  <c r="AQ54" i="4"/>
  <c r="AQ50" i="4"/>
  <c r="AQ48" i="4"/>
  <c r="AQ46" i="4"/>
  <c r="BA32" i="4"/>
  <c r="BA26" i="4"/>
  <c r="BA21" i="4"/>
  <c r="AQ55" i="4"/>
  <c r="AQ53" i="4"/>
  <c r="AQ49" i="4"/>
  <c r="BA23" i="4"/>
  <c r="AQ47" i="4"/>
  <c r="AQ45" i="4"/>
  <c r="BA28" i="4"/>
  <c r="BB28" i="4" s="1"/>
  <c r="AO17" i="4"/>
  <c r="AN17" i="4"/>
  <c r="P22" i="7"/>
  <c r="O22" i="7"/>
  <c r="AN18" i="4"/>
  <c r="AO18" i="4"/>
  <c r="AA20" i="7"/>
  <c r="AB20" i="7"/>
  <c r="AZ31" i="4"/>
  <c r="AB15" i="7"/>
  <c r="AC15" i="7"/>
  <c r="Y18" i="7"/>
  <c r="Z18" i="7" s="1"/>
  <c r="T18" i="7"/>
  <c r="X18" i="7" s="1"/>
  <c r="AB19" i="7"/>
  <c r="AC19" i="7"/>
  <c r="AA19" i="7"/>
  <c r="H20" i="7"/>
  <c r="N20" i="7" s="1"/>
  <c r="J20" i="7"/>
  <c r="F20" i="7"/>
  <c r="I20" i="7"/>
  <c r="G20" i="7"/>
  <c r="J33" i="7"/>
  <c r="P39" i="7"/>
  <c r="Q39" i="7" s="1"/>
  <c r="O39" i="7"/>
  <c r="BC16" i="4"/>
  <c r="BD16" i="4" s="1"/>
  <c r="F7" i="3" s="1"/>
  <c r="AO9" i="4"/>
  <c r="AK19" i="4"/>
  <c r="AM19" i="4" s="1"/>
  <c r="E9" i="3"/>
  <c r="AZ11" i="4"/>
  <c r="AZ16" i="4" s="1"/>
  <c r="F5" i="3" s="1"/>
  <c r="BE16" i="4"/>
  <c r="BF16" i="4" s="1"/>
  <c r="F8" i="3" s="1"/>
  <c r="BF11" i="4"/>
  <c r="BC21" i="4"/>
  <c r="BD21" i="4" s="1"/>
  <c r="BE22" i="4"/>
  <c r="BF22" i="4" s="1"/>
  <c r="BA22" i="4"/>
  <c r="BB22" i="4" s="1"/>
  <c r="BG22" i="4"/>
  <c r="BH22" i="4" s="1"/>
  <c r="BC26" i="4"/>
  <c r="BD26" i="4" s="1"/>
  <c r="AY31" i="4"/>
  <c r="BG31" i="4"/>
  <c r="BH31" i="4" s="1"/>
  <c r="BC32" i="4"/>
  <c r="BD32" i="4" s="1"/>
  <c r="BB32" i="4"/>
  <c r="BB26" i="4"/>
  <c r="BB21" i="4"/>
  <c r="BB29" i="4"/>
  <c r="BB23" i="4"/>
  <c r="AR45" i="4"/>
  <c r="AS14" i="7"/>
  <c r="F5" i="6" s="1"/>
  <c r="AI21" i="7"/>
  <c r="H12" i="6" s="1"/>
  <c r="T21" i="7"/>
  <c r="AS22" i="4"/>
  <c r="AO22" i="4"/>
  <c r="G5" i="3" s="1"/>
  <c r="AP56" i="4"/>
  <c r="AP55" i="4"/>
  <c r="AP54" i="4"/>
  <c r="AP53" i="4"/>
  <c r="AP50" i="4"/>
  <c r="AP49" i="4"/>
  <c r="AP48" i="4"/>
  <c r="AP47" i="4"/>
  <c r="AP46" i="4"/>
  <c r="AY23" i="4"/>
  <c r="AZ23" i="4" s="1"/>
  <c r="AY28" i="4"/>
  <c r="AZ28" i="4" s="1"/>
  <c r="AY37" i="4" s="1"/>
  <c r="E5" i="3" s="1"/>
  <c r="BA16" i="4"/>
  <c r="BB16" i="4" s="1"/>
  <c r="F6" i="3" s="1"/>
  <c r="BB11" i="4"/>
  <c r="BA25" i="4"/>
  <c r="BA30" i="4" s="1"/>
  <c r="AQ44" i="4"/>
  <c r="AQ42" i="4"/>
  <c r="AO23" i="4"/>
  <c r="G6" i="3" s="1"/>
  <c r="BC27" i="4"/>
  <c r="BD27" i="4" s="1"/>
  <c r="BD24" i="4"/>
  <c r="Y14" i="7"/>
  <c r="Z14" i="7" s="1"/>
  <c r="T14" i="7"/>
  <c r="AB17" i="7"/>
  <c r="AC17" i="7"/>
  <c r="T19" i="7"/>
  <c r="AR22" i="7"/>
  <c r="AS22" i="7" s="1"/>
  <c r="F13" i="6" s="1"/>
  <c r="I24" i="7"/>
  <c r="N24" i="7" s="1"/>
  <c r="AR56" i="4"/>
  <c r="AR54" i="4"/>
  <c r="AR50" i="4"/>
  <c r="AR48" i="4"/>
  <c r="AR46" i="4"/>
  <c r="BC23" i="4"/>
  <c r="BD23" i="4" s="1"/>
  <c r="BC28" i="4"/>
  <c r="BD28" i="4" s="1"/>
  <c r="H8" i="3"/>
  <c r="AD6" i="4"/>
  <c r="AN8" i="4"/>
  <c r="AO24" i="4" s="1"/>
  <c r="G7" i="3" s="1"/>
  <c r="AM10" i="4"/>
  <c r="BH11" i="4"/>
  <c r="BH16" i="4" s="1"/>
  <c r="F9" i="3" s="1"/>
  <c r="AN16" i="4"/>
  <c r="AY21" i="4"/>
  <c r="AZ21" i="4" s="1"/>
  <c r="BC22" i="4"/>
  <c r="BD22" i="4" s="1"/>
  <c r="BB25" i="4"/>
  <c r="AY26" i="4"/>
  <c r="AZ26" i="4" s="1"/>
  <c r="AT29" i="4"/>
  <c r="AY32" i="4"/>
  <c r="AZ32" i="4" s="1"/>
  <c r="AQ43" i="4"/>
  <c r="AR49" i="4"/>
  <c r="AR53" i="4"/>
  <c r="AA15" i="7"/>
  <c r="AS16" i="7"/>
  <c r="F7" i="6" s="1"/>
  <c r="AS18" i="7"/>
  <c r="F9" i="6" s="1"/>
  <c r="N19" i="7"/>
  <c r="Y21" i="7"/>
  <c r="Z21" i="7" s="1"/>
  <c r="G23" i="7"/>
  <c r="I23" i="7"/>
  <c r="N23" i="7" s="1"/>
  <c r="F23" i="7"/>
  <c r="J23" i="7"/>
  <c r="P26" i="7"/>
  <c r="Q26" i="7" s="1"/>
  <c r="O26" i="7"/>
  <c r="I14" i="7"/>
  <c r="J17" i="7"/>
  <c r="T17" i="7"/>
  <c r="H19" i="7"/>
  <c r="AR19" i="7"/>
  <c r="AS19" i="7" s="1"/>
  <c r="F10" i="6" s="1"/>
  <c r="AR21" i="7"/>
  <c r="AS21" i="7" s="1"/>
  <c r="F12" i="6" s="1"/>
  <c r="AG24" i="7"/>
  <c r="AA25" i="7"/>
  <c r="AB25" i="7"/>
  <c r="AC25" i="7"/>
  <c r="AB39" i="7"/>
  <c r="AA39" i="7"/>
  <c r="AD16" i="4"/>
  <c r="AY24" i="4"/>
  <c r="AZ27" i="4"/>
  <c r="AT51" i="4"/>
  <c r="AP51" i="4"/>
  <c r="AP45" i="4"/>
  <c r="AS51" i="4"/>
  <c r="AC14" i="7"/>
  <c r="AC18" i="7"/>
  <c r="AC20" i="7"/>
  <c r="J14" i="7"/>
  <c r="N14" i="7" s="1"/>
  <c r="F14" i="7"/>
  <c r="K14" i="7"/>
  <c r="X14" i="7"/>
  <c r="I15" i="7"/>
  <c r="N15" i="7" s="1"/>
  <c r="J15" i="7"/>
  <c r="V15" i="7"/>
  <c r="J19" i="7"/>
  <c r="J21" i="7"/>
  <c r="Y24" i="7"/>
  <c r="Z24" i="7" s="1"/>
  <c r="X28" i="7"/>
  <c r="V28" i="7"/>
  <c r="U28" i="7"/>
  <c r="P35" i="7"/>
  <c r="Q35" i="7" s="1"/>
  <c r="O35" i="7"/>
  <c r="X15" i="7"/>
  <c r="X17" i="7"/>
  <c r="X19" i="7"/>
  <c r="X21" i="7"/>
  <c r="G14" i="7"/>
  <c r="AL15" i="7"/>
  <c r="H16" i="7"/>
  <c r="N16" i="7" s="1"/>
  <c r="J16" i="7"/>
  <c r="F16" i="7"/>
  <c r="Y16" i="7"/>
  <c r="Z16" i="7" s="1"/>
  <c r="J18" i="7"/>
  <c r="F18" i="7"/>
  <c r="H18" i="7"/>
  <c r="N18" i="7" s="1"/>
  <c r="AX21" i="7"/>
  <c r="E12" i="6" s="1"/>
  <c r="AX22" i="7"/>
  <c r="E13" i="6" s="1"/>
  <c r="AI24" i="7"/>
  <c r="AS24" i="7"/>
  <c r="AB35" i="7"/>
  <c r="AA35" i="7"/>
  <c r="P36" i="7"/>
  <c r="Q36" i="7" s="1"/>
  <c r="O36" i="7"/>
  <c r="J25" i="7"/>
  <c r="V25" i="7"/>
  <c r="AG25" i="7" s="1"/>
  <c r="U25" i="7"/>
  <c r="Y26" i="7"/>
  <c r="Z26" i="7" s="1"/>
  <c r="T26" i="7"/>
  <c r="AI26" i="7"/>
  <c r="G27" i="7"/>
  <c r="J27" i="7"/>
  <c r="N27" i="7" s="1"/>
  <c r="F27" i="7"/>
  <c r="N29" i="7"/>
  <c r="J29" i="7"/>
  <c r="Y30" i="7"/>
  <c r="Z30" i="7" s="1"/>
  <c r="T30" i="7"/>
  <c r="G31" i="7"/>
  <c r="J31" i="7"/>
  <c r="N31" i="7" s="1"/>
  <c r="F31" i="7"/>
  <c r="X32" i="7"/>
  <c r="V32" i="7"/>
  <c r="AG32" i="7" s="1"/>
  <c r="U32" i="7"/>
  <c r="N51" i="7"/>
  <c r="P52" i="7"/>
  <c r="Q52" i="7" s="1"/>
  <c r="O52" i="7"/>
  <c r="AC53" i="7"/>
  <c r="AB53" i="7"/>
  <c r="AA53" i="7"/>
  <c r="AP52" i="4"/>
  <c r="I17" i="7"/>
  <c r="N17" i="7" s="1"/>
  <c r="I21" i="7"/>
  <c r="N21" i="7" s="1"/>
  <c r="Y22" i="7"/>
  <c r="Z22" i="7" s="1"/>
  <c r="AC22" i="7" s="1"/>
  <c r="T22" i="7"/>
  <c r="X22" i="7" s="1"/>
  <c r="T23" i="7"/>
  <c r="AX23" i="7"/>
  <c r="E14" i="6" s="1"/>
  <c r="I25" i="7"/>
  <c r="N25" i="7" s="1"/>
  <c r="X25" i="7"/>
  <c r="AR26" i="7"/>
  <c r="AS26" i="7" s="1"/>
  <c r="AX27" i="7"/>
  <c r="AG28" i="7"/>
  <c r="I29" i="7"/>
  <c r="Y29" i="7"/>
  <c r="Z29" i="7" s="1"/>
  <c r="AB32" i="7"/>
  <c r="AA32" i="7"/>
  <c r="AI33" i="7"/>
  <c r="AR33" i="7"/>
  <c r="AS33" i="7" s="1"/>
  <c r="V34" i="7"/>
  <c r="U34" i="7"/>
  <c r="AS35" i="7"/>
  <c r="I38" i="7"/>
  <c r="N38" i="7" s="1"/>
  <c r="V38" i="7"/>
  <c r="AG38" i="7" s="1"/>
  <c r="U38" i="7"/>
  <c r="AS39" i="7"/>
  <c r="AB41" i="7"/>
  <c r="AA41" i="7"/>
  <c r="AB42" i="7"/>
  <c r="AC42" i="7"/>
  <c r="AA42" i="7"/>
  <c r="AX35" i="7"/>
  <c r="AB37" i="7"/>
  <c r="AA37" i="7"/>
  <c r="AX37" i="7"/>
  <c r="AX39" i="7"/>
  <c r="X23" i="7"/>
  <c r="T16" i="7"/>
  <c r="T20" i="7"/>
  <c r="X20" i="7" s="1"/>
  <c r="AI22" i="7"/>
  <c r="H13" i="6" s="1"/>
  <c r="AC23" i="7"/>
  <c r="J24" i="7"/>
  <c r="F24" i="7"/>
  <c r="AR25" i="7"/>
  <c r="AS25" i="7" s="1"/>
  <c r="AB28" i="7"/>
  <c r="AA28" i="7"/>
  <c r="J30" i="7"/>
  <c r="N30" i="7" s="1"/>
  <c r="AX31" i="7"/>
  <c r="N32" i="7"/>
  <c r="I33" i="7"/>
  <c r="N33" i="7" s="1"/>
  <c r="Y33" i="7"/>
  <c r="Z33" i="7" s="1"/>
  <c r="AI35" i="7"/>
  <c r="AI39" i="7"/>
  <c r="G41" i="7"/>
  <c r="J41" i="7"/>
  <c r="F41" i="7"/>
  <c r="I41" i="7"/>
  <c r="I43" i="7"/>
  <c r="N43" i="7" s="1"/>
  <c r="P45" i="7"/>
  <c r="Q45" i="7" s="1"/>
  <c r="O45" i="7"/>
  <c r="I28" i="7"/>
  <c r="N28" i="7" s="1"/>
  <c r="T29" i="7"/>
  <c r="G30" i="7"/>
  <c r="I32" i="7"/>
  <c r="T33" i="7"/>
  <c r="Y34" i="7"/>
  <c r="Z34" i="7" s="1"/>
  <c r="AG34" i="7"/>
  <c r="T35" i="7"/>
  <c r="G36" i="7"/>
  <c r="AI36" i="7"/>
  <c r="I37" i="7"/>
  <c r="N37" i="7" s="1"/>
  <c r="Y38" i="7"/>
  <c r="Z38" i="7" s="1"/>
  <c r="T39" i="7"/>
  <c r="Y40" i="7"/>
  <c r="Z40" i="7" s="1"/>
  <c r="T40" i="7"/>
  <c r="AI40" i="7"/>
  <c r="J42" i="7"/>
  <c r="AX42" i="7"/>
  <c r="G47" i="7"/>
  <c r="J47" i="7"/>
  <c r="F47" i="7"/>
  <c r="I47" i="7"/>
  <c r="N47" i="7" s="1"/>
  <c r="AC50" i="7"/>
  <c r="AB50" i="7"/>
  <c r="AA50" i="7"/>
  <c r="F28" i="7"/>
  <c r="J28" i="7"/>
  <c r="F32" i="7"/>
  <c r="J32" i="7"/>
  <c r="J34" i="7"/>
  <c r="N34" i="7" s="1"/>
  <c r="F34" i="7"/>
  <c r="J37" i="7"/>
  <c r="J38" i="7"/>
  <c r="F38" i="7"/>
  <c r="I40" i="7"/>
  <c r="N40" i="7" s="1"/>
  <c r="U43" i="7"/>
  <c r="AX43" i="7"/>
  <c r="N46" i="7"/>
  <c r="AB47" i="7"/>
  <c r="AA47" i="7"/>
  <c r="AS49" i="7"/>
  <c r="T27" i="7"/>
  <c r="Y27" i="7"/>
  <c r="Z27" i="7" s="1"/>
  <c r="T31" i="7"/>
  <c r="Y31" i="7"/>
  <c r="Z31" i="7" s="1"/>
  <c r="Y36" i="7"/>
  <c r="Z36" i="7" s="1"/>
  <c r="T36" i="7"/>
  <c r="J40" i="7"/>
  <c r="AX40" i="7"/>
  <c r="N41" i="7"/>
  <c r="AX41" i="7"/>
  <c r="X42" i="7"/>
  <c r="V42" i="7"/>
  <c r="U42" i="7"/>
  <c r="N44" i="7"/>
  <c r="J44" i="7"/>
  <c r="T44" i="7"/>
  <c r="Y44" i="7"/>
  <c r="Z44" i="7" s="1"/>
  <c r="J48" i="7"/>
  <c r="Y49" i="7"/>
  <c r="Z49" i="7" s="1"/>
  <c r="T49" i="7"/>
  <c r="G50" i="7"/>
  <c r="J50" i="7"/>
  <c r="F50" i="7"/>
  <c r="I50" i="7"/>
  <c r="N50" i="7" s="1"/>
  <c r="AI46" i="7"/>
  <c r="Y46" i="7"/>
  <c r="Z46" i="7" s="1"/>
  <c r="T46" i="7"/>
  <c r="I48" i="7"/>
  <c r="N48" i="7" s="1"/>
  <c r="Y48" i="7"/>
  <c r="Z48" i="7" s="1"/>
  <c r="J51" i="7"/>
  <c r="I42" i="7"/>
  <c r="N42" i="7" s="1"/>
  <c r="Y43" i="7"/>
  <c r="Z43" i="7" s="1"/>
  <c r="AG43" i="7"/>
  <c r="Y45" i="7"/>
  <c r="Z45" i="7" s="1"/>
  <c r="T45" i="7"/>
  <c r="AI48" i="7"/>
  <c r="AI49" i="7"/>
  <c r="AX52" i="7"/>
  <c r="F42" i="7"/>
  <c r="J43" i="7"/>
  <c r="F43" i="7"/>
  <c r="AI45" i="7"/>
  <c r="J46" i="7"/>
  <c r="AX46" i="7"/>
  <c r="U47" i="7"/>
  <c r="AG47" i="7" s="1"/>
  <c r="AR48" i="7"/>
  <c r="AS48" i="7" s="1"/>
  <c r="J49" i="7"/>
  <c r="N49" i="7" s="1"/>
  <c r="AX49" i="7"/>
  <c r="AB51" i="7"/>
  <c r="AA51" i="7"/>
  <c r="AC51" i="7"/>
  <c r="AX51" i="7"/>
  <c r="AX53" i="7"/>
  <c r="T51" i="7"/>
  <c r="G52" i="7"/>
  <c r="F53" i="7"/>
  <c r="J53" i="7"/>
  <c r="N53" i="7" s="1"/>
  <c r="T48" i="7"/>
  <c r="G49" i="7"/>
  <c r="V50" i="7"/>
  <c r="AG50" i="7" s="1"/>
  <c r="I51" i="7"/>
  <c r="T52" i="7"/>
  <c r="Y52" i="7"/>
  <c r="Z52" i="7" s="1"/>
  <c r="G53" i="7"/>
  <c r="F51" i="7"/>
  <c r="T53" i="7"/>
  <c r="C25" i="8"/>
  <c r="E25" i="8" s="1"/>
  <c r="F25" i="8" s="1"/>
  <c r="G25" i="8" s="1"/>
  <c r="U11" i="5" l="1"/>
  <c r="R5" i="6"/>
  <c r="S5" i="6" s="1"/>
  <c r="R9" i="3"/>
  <c r="S9" i="3" s="1"/>
  <c r="U20" i="5"/>
  <c r="R14" i="6"/>
  <c r="S14" i="6" s="1"/>
  <c r="R5" i="3"/>
  <c r="S5" i="3" s="1"/>
  <c r="T13" i="2"/>
  <c r="R10" i="6"/>
  <c r="S10" i="6" s="1"/>
  <c r="U16" i="5"/>
  <c r="R6" i="3"/>
  <c r="S6" i="3" s="1"/>
  <c r="T14" i="2"/>
  <c r="P31" i="7"/>
  <c r="Q31" i="7" s="1"/>
  <c r="O31" i="7"/>
  <c r="P34" i="7"/>
  <c r="Q34" i="7" s="1"/>
  <c r="O34" i="7"/>
  <c r="O47" i="7"/>
  <c r="P47" i="7"/>
  <c r="Q47" i="7" s="1"/>
  <c r="P43" i="7"/>
  <c r="Q43" i="7" s="1"/>
  <c r="O43" i="7"/>
  <c r="P33" i="7"/>
  <c r="Q33" i="7" s="1"/>
  <c r="O33" i="7"/>
  <c r="P16" i="7"/>
  <c r="O16" i="7"/>
  <c r="O23" i="7"/>
  <c r="P23" i="7"/>
  <c r="P20" i="7"/>
  <c r="O20" i="7"/>
  <c r="P30" i="7"/>
  <c r="Q30" i="7" s="1"/>
  <c r="O30" i="7"/>
  <c r="O17" i="7"/>
  <c r="P17" i="7"/>
  <c r="P53" i="7"/>
  <c r="Q53" i="7" s="1"/>
  <c r="O53" i="7"/>
  <c r="P48" i="7"/>
  <c r="Q48" i="7" s="1"/>
  <c r="O48" i="7"/>
  <c r="P50" i="7"/>
  <c r="Q50" i="7" s="1"/>
  <c r="O50" i="7"/>
  <c r="O28" i="7"/>
  <c r="P28" i="7"/>
  <c r="Q28" i="7" s="1"/>
  <c r="P25" i="7"/>
  <c r="Q25" i="7" s="1"/>
  <c r="O25" i="7"/>
  <c r="O15" i="7"/>
  <c r="P15" i="7"/>
  <c r="P14" i="7"/>
  <c r="O14" i="7"/>
  <c r="P24" i="7"/>
  <c r="Q24" i="7" s="1"/>
  <c r="O24" i="7"/>
  <c r="O37" i="7"/>
  <c r="P37" i="7"/>
  <c r="Q37" i="7" s="1"/>
  <c r="P38" i="7"/>
  <c r="Q38" i="7" s="1"/>
  <c r="O38" i="7"/>
  <c r="P49" i="7"/>
  <c r="Q49" i="7" s="1"/>
  <c r="O49" i="7"/>
  <c r="O42" i="7"/>
  <c r="P42" i="7"/>
  <c r="Q42" i="7" s="1"/>
  <c r="O21" i="7"/>
  <c r="P21" i="7"/>
  <c r="P27" i="7"/>
  <c r="Q27" i="7" s="1"/>
  <c r="O27" i="7"/>
  <c r="P18" i="7"/>
  <c r="O18" i="7"/>
  <c r="U53" i="7"/>
  <c r="X53" i="7"/>
  <c r="V53" i="7"/>
  <c r="V48" i="7"/>
  <c r="U48" i="7"/>
  <c r="X48" i="7"/>
  <c r="X51" i="7"/>
  <c r="V51" i="7"/>
  <c r="U51" i="7"/>
  <c r="O41" i="7"/>
  <c r="P41" i="7"/>
  <c r="Q41" i="7" s="1"/>
  <c r="X27" i="7"/>
  <c r="V27" i="7"/>
  <c r="U27" i="7"/>
  <c r="AH9" i="4"/>
  <c r="AH13" i="4" s="1"/>
  <c r="AH17" i="4" s="1"/>
  <c r="AH18" i="4" s="1"/>
  <c r="AE9" i="4"/>
  <c r="AE13" i="4" s="1"/>
  <c r="AE17" i="4" s="1"/>
  <c r="AE18" i="4" s="1"/>
  <c r="AG9" i="4"/>
  <c r="AG13" i="4" s="1"/>
  <c r="AG17" i="4" s="1"/>
  <c r="AG18" i="4" s="1"/>
  <c r="AD34" i="4"/>
  <c r="AD33" i="4"/>
  <c r="AD9" i="4" s="1"/>
  <c r="AD13" i="4" s="1"/>
  <c r="AD17" i="4" s="1"/>
  <c r="AD18" i="4" s="1"/>
  <c r="AF9" i="4"/>
  <c r="AF13" i="4" s="1"/>
  <c r="AF17" i="4" s="1"/>
  <c r="AF18" i="4" s="1"/>
  <c r="BE27" i="4"/>
  <c r="BF27" i="4" s="1"/>
  <c r="AS55" i="4"/>
  <c r="AS53" i="4"/>
  <c r="AS49" i="4"/>
  <c r="AS47" i="4"/>
  <c r="BE32" i="4"/>
  <c r="BF32" i="4" s="1"/>
  <c r="BE26" i="4"/>
  <c r="BF26" i="4" s="1"/>
  <c r="BE21" i="4"/>
  <c r="BF21" i="4" s="1"/>
  <c r="AS54" i="4"/>
  <c r="AS50" i="4"/>
  <c r="AS48" i="4"/>
  <c r="BE28" i="4"/>
  <c r="BF28" i="4" s="1"/>
  <c r="BE23" i="4"/>
  <c r="BF23" i="4" s="1"/>
  <c r="AS46" i="4"/>
  <c r="AO25" i="4"/>
  <c r="G8" i="3" s="1"/>
  <c r="AS56" i="4"/>
  <c r="X46" i="7"/>
  <c r="U46" i="7"/>
  <c r="V46" i="7"/>
  <c r="AC49" i="7"/>
  <c r="AB49" i="7"/>
  <c r="AA49" i="7"/>
  <c r="U44" i="7"/>
  <c r="V44" i="7"/>
  <c r="AG44" i="7" s="1"/>
  <c r="X44" i="7"/>
  <c r="AG42" i="7"/>
  <c r="AB31" i="7"/>
  <c r="AA31" i="7"/>
  <c r="U39" i="7"/>
  <c r="V39" i="7"/>
  <c r="AA34" i="7"/>
  <c r="AB34" i="7"/>
  <c r="AC34" i="7"/>
  <c r="V29" i="7"/>
  <c r="AG29" i="7" s="1"/>
  <c r="U29" i="7"/>
  <c r="X29" i="7"/>
  <c r="AA33" i="7"/>
  <c r="AB33" i="7"/>
  <c r="V23" i="7"/>
  <c r="U23" i="7"/>
  <c r="U30" i="7"/>
  <c r="X30" i="7"/>
  <c r="V30" i="7"/>
  <c r="U26" i="7"/>
  <c r="X26" i="7"/>
  <c r="V26" i="7"/>
  <c r="AA16" i="7"/>
  <c r="AB16" i="7"/>
  <c r="AG15" i="7"/>
  <c r="G6" i="6" s="1"/>
  <c r="AI15" i="7"/>
  <c r="H6" i="6" s="1"/>
  <c r="AC16" i="7"/>
  <c r="BA34" i="4"/>
  <c r="BB34" i="4" s="1"/>
  <c r="BB30" i="4"/>
  <c r="U21" i="7"/>
  <c r="V21" i="7"/>
  <c r="BE31" i="4"/>
  <c r="BF31" i="4" s="1"/>
  <c r="BA31" i="4"/>
  <c r="BB31" i="4" s="1"/>
  <c r="BC31" i="4"/>
  <c r="BD31" i="4" s="1"/>
  <c r="AA18" i="7"/>
  <c r="AB18" i="7"/>
  <c r="AR44" i="4"/>
  <c r="AR42" i="4"/>
  <c r="BC25" i="4"/>
  <c r="AR43" i="4"/>
  <c r="AB44" i="7"/>
  <c r="AA44" i="7"/>
  <c r="AC44" i="7"/>
  <c r="AC40" i="7"/>
  <c r="AB40" i="7"/>
  <c r="AA40" i="7"/>
  <c r="V16" i="7"/>
  <c r="U16" i="7"/>
  <c r="AA29" i="7"/>
  <c r="AC29" i="7"/>
  <c r="AB29" i="7"/>
  <c r="O51" i="7"/>
  <c r="P51" i="7"/>
  <c r="Q51" i="7" s="1"/>
  <c r="O19" i="7"/>
  <c r="P19" i="7"/>
  <c r="V18" i="7"/>
  <c r="U18" i="7"/>
  <c r="BE25" i="4"/>
  <c r="BF25" i="4" s="1"/>
  <c r="AS43" i="4"/>
  <c r="AS42" i="4"/>
  <c r="BE34" i="4"/>
  <c r="BF34" i="4" s="1"/>
  <c r="BE30" i="4"/>
  <c r="BF30" i="4" s="1"/>
  <c r="AS44" i="4"/>
  <c r="AA43" i="7"/>
  <c r="AB43" i="7"/>
  <c r="AC46" i="7"/>
  <c r="AB46" i="7"/>
  <c r="AA46" i="7"/>
  <c r="V31" i="7"/>
  <c r="AG31" i="7" s="1"/>
  <c r="U31" i="7"/>
  <c r="V33" i="7"/>
  <c r="U33" i="7"/>
  <c r="U22" i="7"/>
  <c r="V22" i="7"/>
  <c r="AC30" i="7"/>
  <c r="AB30" i="7"/>
  <c r="AA30" i="7"/>
  <c r="AC26" i="7"/>
  <c r="AB26" i="7"/>
  <c r="AA26" i="7"/>
  <c r="X16" i="7"/>
  <c r="AS45" i="4"/>
  <c r="U17" i="7"/>
  <c r="V17" i="7"/>
  <c r="AU15" i="7"/>
  <c r="AX15" i="7" s="1"/>
  <c r="E6" i="6" s="1"/>
  <c r="AN10" i="4"/>
  <c r="AO10" i="4"/>
  <c r="U19" i="7"/>
  <c r="V19" i="7"/>
  <c r="V14" i="7"/>
  <c r="U14" i="7"/>
  <c r="V52" i="7"/>
  <c r="U52" i="7"/>
  <c r="X52" i="7"/>
  <c r="AB45" i="7"/>
  <c r="AA45" i="7"/>
  <c r="U49" i="7"/>
  <c r="X49" i="7"/>
  <c r="V49" i="7"/>
  <c r="AC36" i="7"/>
  <c r="AB36" i="7"/>
  <c r="AA36" i="7"/>
  <c r="P46" i="7"/>
  <c r="Q46" i="7" s="1"/>
  <c r="O46" i="7"/>
  <c r="O32" i="7"/>
  <c r="P32" i="7"/>
  <c r="Q32" i="7" s="1"/>
  <c r="P29" i="7"/>
  <c r="Q29" i="7" s="1"/>
  <c r="O29" i="7"/>
  <c r="AA24" i="7"/>
  <c r="AB24" i="7"/>
  <c r="U12" i="5"/>
  <c r="R6" i="6"/>
  <c r="S6" i="6" s="1"/>
  <c r="AA52" i="7"/>
  <c r="AC52" i="7"/>
  <c r="AB52" i="7"/>
  <c r="U45" i="7"/>
  <c r="V45" i="7"/>
  <c r="AG45" i="7" s="1"/>
  <c r="AA48" i="7"/>
  <c r="AC48" i="7"/>
  <c r="AB48" i="7"/>
  <c r="P44" i="7"/>
  <c r="Q44" i="7" s="1"/>
  <c r="O44" i="7"/>
  <c r="X36" i="7"/>
  <c r="V36" i="7"/>
  <c r="U36" i="7"/>
  <c r="AC27" i="7"/>
  <c r="AB27" i="7"/>
  <c r="AA27" i="7"/>
  <c r="P40" i="7"/>
  <c r="Q40" i="7" s="1"/>
  <c r="O40" i="7"/>
  <c r="X40" i="7"/>
  <c r="U40" i="7"/>
  <c r="V40" i="7"/>
  <c r="AG40" i="7" s="1"/>
  <c r="AA38" i="7"/>
  <c r="AB38" i="7"/>
  <c r="AC38" i="7"/>
  <c r="U35" i="7"/>
  <c r="V35" i="7"/>
  <c r="V20" i="7"/>
  <c r="U20" i="7"/>
  <c r="AA22" i="7"/>
  <c r="AB22" i="7"/>
  <c r="AY29" i="4"/>
  <c r="AZ29" i="4" s="1"/>
  <c r="AZ24" i="4"/>
  <c r="BE33" i="4"/>
  <c r="BF33" i="4" s="1"/>
  <c r="BA33" i="4"/>
  <c r="BB33" i="4" s="1"/>
  <c r="BG24" i="4"/>
  <c r="AY33" i="4"/>
  <c r="AZ33" i="4" s="1"/>
  <c r="BC33" i="4"/>
  <c r="BD33" i="4" s="1"/>
  <c r="AB21" i="7"/>
  <c r="AC21" i="7"/>
  <c r="AA21" i="7"/>
  <c r="AA14" i="7"/>
  <c r="AB14" i="7"/>
  <c r="AN19" i="4"/>
  <c r="AO19" i="4"/>
  <c r="B27" i="6"/>
  <c r="C27" i="6" s="1"/>
  <c r="Q22" i="7"/>
  <c r="D13" i="6" s="1"/>
  <c r="D27" i="6"/>
  <c r="E27" i="6" s="1"/>
  <c r="AP44" i="4"/>
  <c r="AP43" i="4"/>
  <c r="AP42" i="4"/>
  <c r="AY25" i="4"/>
  <c r="B14" i="3" l="1"/>
  <c r="D14" i="3" s="1"/>
  <c r="AD19" i="4"/>
  <c r="D5" i="3" s="1"/>
  <c r="I5" i="3" s="1"/>
  <c r="K5" i="3" s="1"/>
  <c r="L5" i="3" s="1"/>
  <c r="E14" i="3"/>
  <c r="F14" i="3" s="1"/>
  <c r="AG19" i="7"/>
  <c r="G10" i="6" s="1"/>
  <c r="AU19" i="7"/>
  <c r="AX19" i="7" s="1"/>
  <c r="E10" i="6" s="1"/>
  <c r="AL19" i="7"/>
  <c r="AI19" i="7"/>
  <c r="H10" i="6" s="1"/>
  <c r="B20" i="3"/>
  <c r="D20" i="3" s="1"/>
  <c r="AG19" i="4"/>
  <c r="D8" i="3" s="1"/>
  <c r="I8" i="3" s="1"/>
  <c r="K8" i="3" s="1"/>
  <c r="L8" i="3" s="1"/>
  <c r="E20" i="3"/>
  <c r="F20" i="3" s="1"/>
  <c r="Q15" i="7"/>
  <c r="D6" i="6" s="1"/>
  <c r="I6" i="6" s="1"/>
  <c r="K6" i="6" s="1"/>
  <c r="L6" i="6" s="1"/>
  <c r="D20" i="6"/>
  <c r="E20" i="6" s="1"/>
  <c r="B20" i="6"/>
  <c r="C20" i="6" s="1"/>
  <c r="D22" i="6"/>
  <c r="E22" i="6" s="1"/>
  <c r="B22" i="6"/>
  <c r="C22" i="6" s="1"/>
  <c r="AT44" i="4"/>
  <c r="AT43" i="4"/>
  <c r="AT42" i="4"/>
  <c r="BG25" i="4"/>
  <c r="AG52" i="7"/>
  <c r="AU17" i="7"/>
  <c r="AX17" i="7" s="1"/>
  <c r="E8" i="6" s="1"/>
  <c r="AG17" i="7"/>
  <c r="G8" i="6" s="1"/>
  <c r="AL17" i="7"/>
  <c r="Q17" i="7" s="1"/>
  <c r="D8" i="6" s="1"/>
  <c r="I8" i="6" s="1"/>
  <c r="K8" i="6" s="1"/>
  <c r="L8" i="6" s="1"/>
  <c r="AI17" i="7"/>
  <c r="H8" i="6" s="1"/>
  <c r="AU18" i="7"/>
  <c r="AX18" i="7" s="1"/>
  <c r="E9" i="6" s="1"/>
  <c r="AL18" i="7"/>
  <c r="AG18" i="7"/>
  <c r="G9" i="6" s="1"/>
  <c r="AI18" i="7"/>
  <c r="H9" i="6" s="1"/>
  <c r="AF19" i="4"/>
  <c r="D7" i="3" s="1"/>
  <c r="I7" i="3" s="1"/>
  <c r="K7" i="3" s="1"/>
  <c r="L7" i="3" s="1"/>
  <c r="B18" i="3"/>
  <c r="D18" i="3" s="1"/>
  <c r="E18" i="3"/>
  <c r="F18" i="3" s="1"/>
  <c r="AE19" i="4"/>
  <c r="D6" i="3" s="1"/>
  <c r="I6" i="3" s="1"/>
  <c r="K6" i="3" s="1"/>
  <c r="L6" i="3" s="1"/>
  <c r="B16" i="3"/>
  <c r="D16" i="3" s="1"/>
  <c r="E16" i="3"/>
  <c r="F16" i="3" s="1"/>
  <c r="AG27" i="7"/>
  <c r="B25" i="6"/>
  <c r="C25" i="6" s="1"/>
  <c r="D25" i="6"/>
  <c r="E25" i="6" s="1"/>
  <c r="B21" i="6"/>
  <c r="C21" i="6" s="1"/>
  <c r="D21" i="6"/>
  <c r="E21" i="6" s="1"/>
  <c r="AG36" i="7"/>
  <c r="AY30" i="4"/>
  <c r="AZ25" i="4"/>
  <c r="BG29" i="4"/>
  <c r="BH24" i="4"/>
  <c r="AL20" i="7"/>
  <c r="Q20" i="7" s="1"/>
  <c r="D11" i="6" s="1"/>
  <c r="I11" i="6" s="1"/>
  <c r="K11" i="6" s="1"/>
  <c r="L11" i="6" s="1"/>
  <c r="AG20" i="7"/>
  <c r="G11" i="6" s="1"/>
  <c r="AI20" i="7"/>
  <c r="H11" i="6" s="1"/>
  <c r="AU20" i="7"/>
  <c r="AX20" i="7" s="1"/>
  <c r="E11" i="6" s="1"/>
  <c r="AG49" i="7"/>
  <c r="AT56" i="4"/>
  <c r="AT55" i="4"/>
  <c r="AT54" i="4"/>
  <c r="AT53" i="4"/>
  <c r="AT50" i="4"/>
  <c r="AT49" i="4"/>
  <c r="AT48" i="4"/>
  <c r="AT47" i="4"/>
  <c r="AT46" i="4"/>
  <c r="AO26" i="4"/>
  <c r="G9" i="3" s="1"/>
  <c r="BG23" i="4"/>
  <c r="BH23" i="4" s="1"/>
  <c r="BG28" i="4"/>
  <c r="BH28" i="4" s="1"/>
  <c r="BG32" i="4"/>
  <c r="BH32" i="4" s="1"/>
  <c r="BG26" i="4"/>
  <c r="BH26" i="4" s="1"/>
  <c r="BG21" i="4"/>
  <c r="BH21" i="4" s="1"/>
  <c r="BG27" i="4"/>
  <c r="BH27" i="4" s="1"/>
  <c r="AT45" i="4"/>
  <c r="AG33" i="7"/>
  <c r="Q19" i="7"/>
  <c r="D10" i="6" s="1"/>
  <c r="D24" i="6"/>
  <c r="E24" i="6" s="1"/>
  <c r="B24" i="6"/>
  <c r="C24" i="6" s="1"/>
  <c r="AL16" i="7"/>
  <c r="Q16" i="7" s="1"/>
  <c r="D7" i="6" s="1"/>
  <c r="I7" i="6" s="1"/>
  <c r="K7" i="6" s="1"/>
  <c r="L7" i="6" s="1"/>
  <c r="AG16" i="7"/>
  <c r="G7" i="6" s="1"/>
  <c r="AU16" i="7"/>
  <c r="AX16" i="7" s="1"/>
  <c r="E7" i="6" s="1"/>
  <c r="AI16" i="7"/>
  <c r="H7" i="6" s="1"/>
  <c r="BC30" i="4"/>
  <c r="BD25" i="4"/>
  <c r="AG21" i="7"/>
  <c r="G12" i="6" s="1"/>
  <c r="AG30" i="7"/>
  <c r="AG23" i="7"/>
  <c r="G14" i="6" s="1"/>
  <c r="AG46" i="7"/>
  <c r="AG51" i="7"/>
  <c r="AG48" i="7"/>
  <c r="Q21" i="7"/>
  <c r="D12" i="6" s="1"/>
  <c r="D26" i="6"/>
  <c r="E26" i="6" s="1"/>
  <c r="B26" i="6"/>
  <c r="C26" i="6" s="1"/>
  <c r="Q23" i="7"/>
  <c r="D14" i="6" s="1"/>
  <c r="I14" i="6" s="1"/>
  <c r="K14" i="6" s="1"/>
  <c r="L14" i="6" s="1"/>
  <c r="D28" i="6"/>
  <c r="E28" i="6" s="1"/>
  <c r="B28" i="6"/>
  <c r="C28" i="6" s="1"/>
  <c r="I13" i="6"/>
  <c r="K13" i="6" s="1"/>
  <c r="L13" i="6" s="1"/>
  <c r="AG35" i="7"/>
  <c r="AU14" i="7"/>
  <c r="AX14" i="7" s="1"/>
  <c r="E5" i="6" s="1"/>
  <c r="AL14" i="7"/>
  <c r="AG14" i="7"/>
  <c r="G5" i="6" s="1"/>
  <c r="AI14" i="7"/>
  <c r="H5" i="6" s="1"/>
  <c r="AG22" i="7"/>
  <c r="G13" i="6" s="1"/>
  <c r="AG26" i="7"/>
  <c r="AG39" i="7"/>
  <c r="B22" i="3"/>
  <c r="D22" i="3" s="1"/>
  <c r="AH19" i="4"/>
  <c r="D9" i="3" s="1"/>
  <c r="I9" i="3" s="1"/>
  <c r="K9" i="3" s="1"/>
  <c r="L9" i="3" s="1"/>
  <c r="E22" i="3"/>
  <c r="F22" i="3" s="1"/>
  <c r="AG53" i="7"/>
  <c r="B23" i="6"/>
  <c r="C23" i="6" s="1"/>
  <c r="Q18" i="7"/>
  <c r="D9" i="6" s="1"/>
  <c r="I9" i="6" s="1"/>
  <c r="K9" i="6" s="1"/>
  <c r="L9" i="6" s="1"/>
  <c r="D23" i="6"/>
  <c r="E23" i="6" s="1"/>
  <c r="B19" i="6"/>
  <c r="C19" i="6" s="1"/>
  <c r="Q14" i="7"/>
  <c r="D5" i="6" s="1"/>
  <c r="I5" i="6" s="1"/>
  <c r="K5" i="6" s="1"/>
  <c r="L5" i="6" s="1"/>
  <c r="D19" i="6"/>
  <c r="E19" i="6" s="1"/>
  <c r="P7" i="6" l="1"/>
  <c r="U7" i="6"/>
  <c r="M7" i="6"/>
  <c r="U8" i="6"/>
  <c r="P8" i="6"/>
  <c r="M8" i="6"/>
  <c r="P11" i="6"/>
  <c r="U11" i="6"/>
  <c r="M11" i="6"/>
  <c r="P13" i="6"/>
  <c r="U13" i="6"/>
  <c r="M13" i="6"/>
  <c r="AZ30" i="4"/>
  <c r="AY34" i="4"/>
  <c r="AZ34" i="4" s="1"/>
  <c r="BG30" i="4"/>
  <c r="BH25" i="4"/>
  <c r="I10" i="6"/>
  <c r="K10" i="6" s="1"/>
  <c r="L10" i="6" s="1"/>
  <c r="U6" i="6"/>
  <c r="P6" i="6"/>
  <c r="M6" i="6"/>
  <c r="P9" i="6"/>
  <c r="U9" i="6"/>
  <c r="M9" i="6"/>
  <c r="U9" i="3"/>
  <c r="P9" i="3"/>
  <c r="M9" i="3"/>
  <c r="I12" i="6"/>
  <c r="K12" i="6" s="1"/>
  <c r="L12" i="6" s="1"/>
  <c r="BC34" i="4"/>
  <c r="BD34" i="4" s="1"/>
  <c r="BD30" i="4"/>
  <c r="BG33" i="4"/>
  <c r="BH33" i="4" s="1"/>
  <c r="BH29" i="4"/>
  <c r="P7" i="3"/>
  <c r="U7" i="3"/>
  <c r="M7" i="3"/>
  <c r="U5" i="3"/>
  <c r="P5" i="3"/>
  <c r="M5" i="3"/>
  <c r="P5" i="6"/>
  <c r="U5" i="6"/>
  <c r="M5" i="6"/>
  <c r="U14" i="6"/>
  <c r="P14" i="6"/>
  <c r="M14" i="6"/>
  <c r="U6" i="3"/>
  <c r="P6" i="3"/>
  <c r="M6" i="3"/>
  <c r="U8" i="3"/>
  <c r="P8" i="3"/>
  <c r="M8" i="3"/>
  <c r="U12" i="6" l="1"/>
  <c r="P12" i="6"/>
  <c r="M12" i="6"/>
  <c r="BH30" i="4"/>
  <c r="BG34" i="4"/>
  <c r="BH34" i="4" s="1"/>
  <c r="T6" i="6"/>
  <c r="O6" i="6"/>
  <c r="T14" i="6"/>
  <c r="O14" i="6"/>
  <c r="T6" i="3"/>
  <c r="O6" i="3"/>
  <c r="T7" i="3"/>
  <c r="O7" i="3"/>
  <c r="T9" i="3"/>
  <c r="O9" i="3"/>
  <c r="T8" i="6"/>
  <c r="O8" i="6"/>
  <c r="T5" i="6"/>
  <c r="O5" i="6"/>
  <c r="T13" i="6"/>
  <c r="O13" i="6"/>
  <c r="T9" i="6"/>
  <c r="O9" i="6"/>
  <c r="T7" i="6"/>
  <c r="O7" i="6"/>
  <c r="O8" i="3"/>
  <c r="T8" i="3"/>
  <c r="T5" i="3"/>
  <c r="O5" i="3"/>
  <c r="U10" i="6"/>
  <c r="P10" i="6"/>
  <c r="M10" i="6"/>
  <c r="T11" i="6"/>
  <c r="O11" i="6"/>
  <c r="T12" i="6" l="1"/>
  <c r="O12" i="6"/>
  <c r="T10" i="6"/>
  <c r="O10" i="6"/>
</calcChain>
</file>

<file path=xl/sharedStrings.xml><?xml version="1.0" encoding="utf-8"?>
<sst xmlns="http://schemas.openxmlformats.org/spreadsheetml/2006/main" count="994" uniqueCount="490">
  <si>
    <t>Simulateur coût d'usage version 2 - Avril 2020</t>
  </si>
  <si>
    <t>Petit guide d'utilisation de l'outil</t>
  </si>
  <si>
    <t>En bas de la feuille excel se trouvent plusieurs onglets, deux de couleur bleue et deux de couleur rouge. Les bleus correspondent aux projets sur des maisons qu'elles soient découpées ou non en plusieurs logements les rouges pour les immeubles. Dans chaque cas, vous trouvez deux onglets, l'un pour la saisie et l'autre pour les résultats. En fonction de votre projet, la première étape est de se rendre sur l'onglet de saisie correspondant.</t>
  </si>
  <si>
    <t>Utilisation de la feuille de saisie maison (logement unique ou divisée) :</t>
  </si>
  <si>
    <t>Un principe de base de la feuille est que toutes les cellules oranges sont à renseigner directement, les cellules bleues à renseigner parmi une liste déroulante et les cellules saumons sont bloquées. Pour les listes déroulantes, quand vous sélectionnez la cellule, une flèche apparait à droite de celle-ci. Cliquez ensuite sur la flèche et la liste apparaitra. Cliquez ainsi sur la proposition de votre choix.</t>
  </si>
  <si>
    <t xml:space="preserve">En premier lieu, veuillez indiquer vos coordonnées et références de l'opération. Choisissez ensuite la ville la plus proche de votre projet. Les 62 villes proposées sont classées par ordre alphabétique. Il vous est ensuite demandé de remplir le type de logement, à savoir si le batiment n'est occupé que par une seule famille dans ce cas, choisissez individuel, sinon collectif. Séléctionnez ensuite le type de mitoyenneté du bâtiment, puis le type de rénovation. </t>
  </si>
  <si>
    <t>Ici vous avez deux possibilités :
     - une rénovation respectant la réglementation thermique des bâtiments existants (éléments par éléments) - sur la base de la RT avant 2018 (modifiée 
par l'arrêté du 22 mars 2017).
     - une rénovation dite performante reprenant en partie les exigences techniques du crédit d'impôt transition énergétique (CITE).</t>
  </si>
  <si>
    <t>Si votre rénovation est plus ambitieuse que celles proposées, choisissez quand même la rénovation performante.</t>
  </si>
  <si>
    <t xml:space="preserve">Ensuite pensez, à sélectionner la position de l'isolant pour l'isolation des murs verticaux donnant sur l'extérieur. Une isolation par l'extérieur est plus efficace que par l'intérieur.
A droite de la case dans laquelle vous avez indiqué le type de rénovation, pensez à renseigner le prix du mètre cube d'eau charges comprises, et juste en dessous le type de chauffage.
Ensuite, vous allez décrire les logements (l'intégralité ou les plus représentatifs de votre opération). Sachant qu'une ligne correspond à un logement.
Rendez-vous ensuite sur l'onglet résultat correspondant. </t>
  </si>
  <si>
    <t xml:space="preserve">Pour imprimer la feuille résultat, cliquer sur l'onglet fichier (en haut à gauche de la page), puis imprimer.
L'impression est configurée en format A4 mode paysage. </t>
  </si>
  <si>
    <t>Utilisation de la feuille de saisie immeuble (opérations avec maîtrise de l'immeuble entier mais aussi opérations de rachat de lots de copropriétés ou autres opérations sur une partie d'immeuble) :</t>
  </si>
  <si>
    <t xml:space="preserve">Cette feuille fonctionne sur le même principe que la précédente à savoir que toutes les cellules vertes sont à renseigner soit directement, soit parmi une liste. Dans ce dernier cas, quand vous sélectionnez la cellule, une flèche apparaît à droite de celle-ci. Cliquez ensuite sur la flèche et la liste apparaitra. Cliquez ainsi sur la proposition de votre choix. </t>
  </si>
  <si>
    <t>En premier lieu, veuillez indiquer  vos coordonnées et références de l'opération. Choisissez ensuite la ville la plus proche de votre projet. Les 62 villes proposées sont classées par ordre alphabétique.
Ensuite, toute une série de renseignements sur le bâtiment est démandée. Pensez bien à remplir toutes les cellules avant de passer à la description des logements.
Là, une ligne correspond à un logement. Veuillez décrire les logements les plus représentatifs de votre projet, à savoir un aux étages extrèmes et un à étage intermédaire.</t>
  </si>
  <si>
    <t>Rendez-vous ensuite sur l'onglet résultat correspondant.</t>
  </si>
  <si>
    <t xml:space="preserve">Pour imprimer la feuille résultat, cliquer sur l'onglet fichier ( en haut à gauche de la page), puis imprimer.
L'impression est configurée en format A4 mode paysage. </t>
  </si>
  <si>
    <t>Si le nombre de logements de l'opération dépasse le maximum prévu, indiquez des typlogies représentatives.</t>
  </si>
  <si>
    <t>Partie Ressources / Allocations Familiales / Chèque Energie pour les onglets Saisie maison &amp; Saisie immeuble :</t>
  </si>
  <si>
    <r>
      <rPr>
        <b/>
        <u/>
        <sz val="12"/>
        <color rgb="FF000000"/>
        <rFont val="Calibri"/>
        <family val="2"/>
        <charset val="1"/>
      </rPr>
      <t xml:space="preserve">Ressources :
</t>
    </r>
    <r>
      <rPr>
        <sz val="11"/>
        <color rgb="FF000000"/>
        <rFont val="Calibri"/>
        <family val="2"/>
        <charset val="1"/>
      </rPr>
      <t>Des ressources type sont indiquées : RSA Socle / RSA Parent isolé / Allocation Adulte Handicapé / ASPA / SMIC net 35h (1 227 €) / Salaire 300 € / Salaire 600 € / Salaire 900 €.
Les montants du RSA (socle ou parent isolé) est indiqué sans l'allocation logement.
Si le ménage est composé de 2 adultes mais qu'un seul a des revenus, il faut impérativement indiquer "Sans ressources" pour le 2nd adulte, cela permet de le compter comme un adulte et pas comme un enfant de + de 14ans.
Les salaires indiqués (SMIC/300€/600€/900€) peuvent être utilisé pour indiquer une pension de retraite ou d'invalidité.</t>
    </r>
  </si>
  <si>
    <r>
      <rPr>
        <b/>
        <u/>
        <sz val="12"/>
        <color rgb="FF000000"/>
        <rFont val="Calibri"/>
        <family val="2"/>
        <charset val="1"/>
      </rPr>
      <t xml:space="preserve">Allocations familiales :
</t>
    </r>
    <r>
      <rPr>
        <sz val="11"/>
        <color rgb="FF000000"/>
        <rFont val="Calibri"/>
        <family val="2"/>
        <charset val="1"/>
      </rPr>
      <t>Le montant des allocations familiales sont ceux pour les ménages aux plus faibles ressources.
Le calcul tient compte du nombre d'adultes et d'enfants renseignés.</t>
    </r>
  </si>
  <si>
    <r>
      <rPr>
        <b/>
        <u/>
        <sz val="12"/>
        <color rgb="FF000000"/>
        <rFont val="Calibri"/>
        <family val="2"/>
        <charset val="1"/>
      </rPr>
      <t xml:space="preserve">Chèque Energie :
</t>
    </r>
    <r>
      <rPr>
        <sz val="11"/>
        <color rgb="FF000000"/>
        <rFont val="Calibri"/>
        <family val="2"/>
        <charset val="1"/>
      </rPr>
      <t xml:space="preserve">Le chèque énergie a remplacé les tarifs sociaux de l'électricité et du gaz (TPN/TSS). Il est attribué sur la base d’un critère fiscal unique, en tenant compte du revenu fiscal de référence du ménage. Il permet aux ménages bénéficiaires de régler des factures d’énergie (électricité, gaz, fioul, bois…) ou de financer une partie des travaux d’économies d’énergie qu’ils engagent dans leur logement.
Le chèque énergie permet de faire bénéficier de protections supplémentaires auprès du fournisseur d'électricité ou de gaz naturel, si une attestation est bien renvoyée :
- Lors d'un déménagement : exonération des frais de mise en service du contrat.
- En cas d'incident de paiement :
    ° maintien de la puissance électrique pendant la période de trève hivernale (du 1er novembre au 31 mars)
    ° réduction des frais liés à une intervention en cas d'impayés (réduction de puissance ou suspension d'alimentation)
    ° exonération, le cas échéant, des frais liés à un rejet de paiement.
Dans les onglets Résultats, il est indiqué de manière séparée du reste puisque le versement de ce chèque ne se fait qu'en une seule fois, il est donc difficile de l'indiquer comme ressource mensuelle.
</t>
    </r>
  </si>
  <si>
    <t>Valeurs de Ressources / Allocations Familiales / Chèque Energie utilisées</t>
  </si>
  <si>
    <t>RSA parent isolé</t>
  </si>
  <si>
    <t>ASPA</t>
  </si>
  <si>
    <t>Enfant</t>
  </si>
  <si>
    <t>&gt;2</t>
  </si>
  <si>
    <t>Seul</t>
  </si>
  <si>
    <t>Couple</t>
  </si>
  <si>
    <t>RSA socle</t>
  </si>
  <si>
    <t>Allocations familiales (tant que les enfants ont moins de 20 ans)</t>
  </si>
  <si>
    <t>&gt;3</t>
  </si>
  <si>
    <t>&gt;4</t>
  </si>
  <si>
    <t>AF</t>
  </si>
  <si>
    <t>Majoration si + 14ans</t>
  </si>
  <si>
    <t>Chèque Energie</t>
  </si>
  <si>
    <t>Allocation Adulte Handicapé</t>
  </si>
  <si>
    <t>Nbre d'UC</t>
  </si>
  <si>
    <t>1 UC</t>
  </si>
  <si>
    <t>1 &lt; UC &lt; 2</t>
  </si>
  <si>
    <t>2 UC ou +</t>
  </si>
  <si>
    <t>Nbre d'UC : 1 pour la 1ière personne, 0,5 pour la seconde, 0,3 pour les suivantes</t>
  </si>
  <si>
    <t xml:space="preserve">Simulation coût d'usage - Feuille de saisie pour des maisons individuelles ou maisons divisées en plusieurs logements </t>
  </si>
  <si>
    <t>Maître d'ouvrage/porteur du projet et adresse de l'opérations</t>
  </si>
  <si>
    <t>Soliha Provence</t>
  </si>
  <si>
    <t>Ville la plus proche du projet :</t>
  </si>
  <si>
    <t>Marseille</t>
  </si>
  <si>
    <t>Type de logement :</t>
  </si>
  <si>
    <t>collectif</t>
  </si>
  <si>
    <t>Mitoyenneté :</t>
  </si>
  <si>
    <t>1 coté</t>
  </si>
  <si>
    <t xml:space="preserve">Type de rénovation : </t>
  </si>
  <si>
    <t>rénovation performante : 
isolation toiture : ≈30 cm ( R&gt;7)
menuiseries double vitrages argon + traitement (Uw&lt; 1,3)
isolant des murs : ≈14 cm ( R&gt;3,7 )</t>
  </si>
  <si>
    <r>
      <rPr>
        <b/>
        <sz val="11"/>
        <color rgb="FF000000"/>
        <rFont val="Calibri"/>
        <family val="2"/>
        <charset val="1"/>
      </rPr>
      <t>Prix du m</t>
    </r>
    <r>
      <rPr>
        <b/>
        <vertAlign val="superscript"/>
        <sz val="11"/>
        <color rgb="FF000000"/>
        <rFont val="Calibri"/>
        <family val="2"/>
        <charset val="1"/>
      </rPr>
      <t xml:space="preserve">3 </t>
    </r>
    <r>
      <rPr>
        <b/>
        <sz val="11"/>
        <color rgb="FF000000"/>
        <rFont val="Calibri"/>
        <family val="2"/>
        <charset val="1"/>
      </rPr>
      <t>d'eau charges comprises :</t>
    </r>
  </si>
  <si>
    <t>Cases à choix multiples</t>
  </si>
  <si>
    <t>Cases à renseigner</t>
  </si>
  <si>
    <t>Cellules non modifiables / Calcul automatique</t>
  </si>
  <si>
    <t>Type de chauffage :</t>
  </si>
  <si>
    <t>individuel</t>
  </si>
  <si>
    <t>Position de l'isolant :</t>
  </si>
  <si>
    <t>intérieur</t>
  </si>
  <si>
    <t>Changement fenêtres :</t>
  </si>
  <si>
    <t>en intégralité</t>
  </si>
  <si>
    <t>Informations par logement (type, étage)</t>
  </si>
  <si>
    <t>Surface habitable en m²</t>
  </si>
  <si>
    <t>Système de production du chauffage</t>
  </si>
  <si>
    <t>Type de production ECS</t>
  </si>
  <si>
    <t>Système de ventilation</t>
  </si>
  <si>
    <t>Mode de cuisson</t>
  </si>
  <si>
    <t>Nombres de personnes</t>
  </si>
  <si>
    <t>Loyer mensuel</t>
  </si>
  <si>
    <r>
      <rPr>
        <b/>
        <sz val="11"/>
        <color rgb="FF000000"/>
        <rFont val="Calibri"/>
        <family val="2"/>
        <charset val="1"/>
      </rPr>
      <t>Charges (hors énergie et eau)</t>
    </r>
    <r>
      <rPr>
        <b/>
        <sz val="11"/>
        <color rgb="FFFF0000"/>
        <rFont val="Calibri"/>
        <family val="2"/>
        <charset val="1"/>
      </rPr>
      <t xml:space="preserve"> saisie des coûts au m² et/ou à l'année</t>
    </r>
  </si>
  <si>
    <t>Ressources</t>
  </si>
  <si>
    <t>Montant Allocations Familiales</t>
  </si>
  <si>
    <t>Montant du chèque énergie</t>
  </si>
  <si>
    <t>Montant mensuel APL</t>
  </si>
  <si>
    <t>Adultes et enfants de 14 ans et +</t>
  </si>
  <si>
    <t>Enfants de moins de 14 ans</t>
  </si>
  <si>
    <r>
      <rPr>
        <b/>
        <sz val="11"/>
        <color rgb="FF000000"/>
        <rFont val="Calibri"/>
        <family val="2"/>
        <charset val="1"/>
      </rPr>
      <t xml:space="preserve">charges locatives (1) </t>
    </r>
    <r>
      <rPr>
        <b/>
        <sz val="11"/>
        <color rgb="FFFF0000"/>
        <rFont val="Calibri"/>
        <family val="2"/>
        <charset val="1"/>
      </rPr>
      <t>en €/m²/an</t>
    </r>
    <r>
      <rPr>
        <b/>
        <sz val="11"/>
        <color rgb="FF000000"/>
        <rFont val="Calibri"/>
        <family val="2"/>
        <charset val="1"/>
      </rPr>
      <t xml:space="preserve"> </t>
    </r>
  </si>
  <si>
    <r>
      <rPr>
        <b/>
        <sz val="11"/>
        <color rgb="FF000000"/>
        <rFont val="Calibri"/>
        <family val="2"/>
        <charset val="1"/>
      </rPr>
      <t>Contrats d'entretien</t>
    </r>
    <r>
      <rPr>
        <b/>
        <sz val="11"/>
        <color rgb="FFFF0000"/>
        <rFont val="Calibri"/>
        <family val="2"/>
        <charset val="1"/>
      </rPr>
      <t xml:space="preserve"> en €/lgt/an</t>
    </r>
  </si>
  <si>
    <r>
      <rPr>
        <b/>
        <sz val="11"/>
        <color rgb="FF000000"/>
        <rFont val="Calibri"/>
        <family val="2"/>
        <charset val="1"/>
      </rPr>
      <t xml:space="preserve">Assurance habitation </t>
    </r>
    <r>
      <rPr>
        <b/>
        <sz val="11"/>
        <color rgb="FFFF0000"/>
        <rFont val="Calibri"/>
        <family val="2"/>
        <charset val="1"/>
      </rPr>
      <t>en €/lgt/an</t>
    </r>
  </si>
  <si>
    <r>
      <rPr>
        <b/>
        <sz val="11"/>
        <color rgb="FF000000"/>
        <rFont val="Calibri"/>
        <family val="2"/>
        <charset val="1"/>
      </rPr>
      <t xml:space="preserve">Taxe habitation </t>
    </r>
    <r>
      <rPr>
        <sz val="8"/>
        <color rgb="FF000000"/>
        <rFont val="Calibri"/>
        <family val="2"/>
        <charset val="1"/>
      </rPr>
      <t>(si non exonéré)</t>
    </r>
    <r>
      <rPr>
        <b/>
        <sz val="8"/>
        <color rgb="FF000000"/>
        <rFont val="Calibri"/>
        <family val="2"/>
        <charset val="1"/>
      </rPr>
      <t xml:space="preserve"> </t>
    </r>
    <r>
      <rPr>
        <b/>
        <sz val="11"/>
        <color rgb="FFFF0000"/>
        <rFont val="Calibri"/>
        <family val="2"/>
        <charset val="1"/>
      </rPr>
      <t>en €/an</t>
    </r>
  </si>
  <si>
    <r>
      <rPr>
        <b/>
        <sz val="11"/>
        <color rgb="FF000000"/>
        <rFont val="Calibri"/>
        <family val="2"/>
        <charset val="1"/>
      </rPr>
      <t xml:space="preserve">Autre(s) : en </t>
    </r>
    <r>
      <rPr>
        <b/>
        <sz val="11"/>
        <color rgb="FFFF0000"/>
        <rFont val="Calibri"/>
        <family val="2"/>
        <charset val="1"/>
      </rPr>
      <t>€/an</t>
    </r>
  </si>
  <si>
    <t>Nature Ressources Principales
1ier adulte</t>
  </si>
  <si>
    <t>Autres ressources
2nd adulte</t>
  </si>
  <si>
    <t>Montant mensuel net</t>
  </si>
  <si>
    <t>Logement 1</t>
  </si>
  <si>
    <t>T2</t>
  </si>
  <si>
    <t>convecteur électrique - de 10 ans</t>
  </si>
  <si>
    <t>ballon élec - de 5 ans</t>
  </si>
  <si>
    <t>ventilation naturelle</t>
  </si>
  <si>
    <t>électricité</t>
  </si>
  <si>
    <t>Logement 2</t>
  </si>
  <si>
    <t>Logement 3</t>
  </si>
  <si>
    <t>Logement 4</t>
  </si>
  <si>
    <t>Logement 5</t>
  </si>
  <si>
    <t>Logement 6</t>
  </si>
  <si>
    <t>Logement 7</t>
  </si>
  <si>
    <t>Logement 8</t>
  </si>
  <si>
    <t>Logement 9</t>
  </si>
  <si>
    <t>Logement 10</t>
  </si>
  <si>
    <t>Logement 11</t>
  </si>
  <si>
    <t>Logement 12</t>
  </si>
  <si>
    <t>Logement 13</t>
  </si>
  <si>
    <t>Logement 14</t>
  </si>
  <si>
    <t>Logement 15</t>
  </si>
  <si>
    <t>Logement 16</t>
  </si>
  <si>
    <t>Logement 17</t>
  </si>
  <si>
    <t>Logement 18</t>
  </si>
  <si>
    <t>Logement 19</t>
  </si>
  <si>
    <t>Logement 20</t>
  </si>
  <si>
    <t>Logement 21</t>
  </si>
  <si>
    <t>Logement 22</t>
  </si>
  <si>
    <t>Logement 23</t>
  </si>
  <si>
    <t>Logement 24</t>
  </si>
  <si>
    <t>(1) Nettoyage et électricité parties communes, Taxe d'Enlèvement des Ordures Ménagères, etc.</t>
  </si>
  <si>
    <r>
      <rPr>
        <b/>
        <sz val="11"/>
        <color rgb="FF000000"/>
        <rFont val="Calibri"/>
        <family val="2"/>
        <charset val="1"/>
      </rPr>
      <t xml:space="preserve">Lecture des ressources :
</t>
    </r>
    <r>
      <rPr>
        <u/>
        <sz val="11"/>
        <color rgb="FF000000"/>
        <rFont val="Calibri"/>
        <family val="2"/>
        <charset val="1"/>
      </rPr>
      <t>RSA Socle / Parent isolé :</t>
    </r>
    <r>
      <rPr>
        <sz val="11"/>
        <color rgb="FF000000"/>
        <rFont val="Calibri"/>
        <family val="2"/>
        <charset val="1"/>
      </rPr>
      <t xml:space="preserve"> le calcul se fait sans les allocations logement
</t>
    </r>
    <r>
      <rPr>
        <u/>
        <sz val="11"/>
        <color rgb="FF000000"/>
        <rFont val="Calibri"/>
        <family val="2"/>
        <charset val="1"/>
      </rPr>
      <t>Salaire :</t>
    </r>
    <r>
      <rPr>
        <sz val="11"/>
        <color rgb="FF000000"/>
        <rFont val="Calibri"/>
        <family val="2"/>
        <charset val="1"/>
      </rPr>
      <t xml:space="preserve"> ce sont des montants pris par défaut, ils peuvent être utilisés pour une pension de retraite ou d'invalidité
</t>
    </r>
    <r>
      <rPr>
        <u/>
        <sz val="11"/>
        <color rgb="FF000000"/>
        <rFont val="Calibri"/>
        <family val="2"/>
        <charset val="1"/>
      </rPr>
      <t>Aucune ressource :</t>
    </r>
    <r>
      <rPr>
        <sz val="11"/>
        <color rgb="FF000000"/>
        <rFont val="Calibri"/>
        <family val="2"/>
        <charset val="1"/>
      </rPr>
      <t xml:space="preserve"> Si un des membres du couple n'a pas de ressource, il faut l'indiquer pour la bonne réalisation des calculs</t>
    </r>
  </si>
  <si>
    <t xml:space="preserve">Evaluation du coût d'usage après travaux - maisons individuelles </t>
  </si>
  <si>
    <t>Maître d'ouvrage/
Adresse de l'opération</t>
  </si>
  <si>
    <t>Identification du logement</t>
  </si>
  <si>
    <t>Situation du logement</t>
  </si>
  <si>
    <t>Surface</t>
  </si>
  <si>
    <t>Coûts par poste de dépense</t>
  </si>
  <si>
    <t>Coûts globaux</t>
  </si>
  <si>
    <t>Rôle de l'APL</t>
  </si>
  <si>
    <r>
      <rPr>
        <b/>
        <sz val="14"/>
        <rFont val="Calibri"/>
        <family val="2"/>
        <charset val="1"/>
      </rPr>
      <t>Reste pour vivre du ménage et par UC</t>
    </r>
    <r>
      <rPr>
        <b/>
        <sz val="10"/>
        <rFont val="Calibri"/>
        <family val="2"/>
        <charset val="1"/>
      </rPr>
      <t>(2)</t>
    </r>
  </si>
  <si>
    <t>(1) Chèque Energie</t>
  </si>
  <si>
    <t>Coût mensuel estimatif moyen Chauffage</t>
  </si>
  <si>
    <t>Coût mensuel estimatif moyen ECS</t>
  </si>
  <si>
    <t>Coût mensuel estimatif moyen eau froide</t>
  </si>
  <si>
    <t>Coût mensuel estimatif moyen électricité spécifique</t>
  </si>
  <si>
    <t>Coût mensuel estimatif moyen cuisson</t>
  </si>
  <si>
    <t>Coût Total mensuel énergies et eau</t>
  </si>
  <si>
    <t>Coût Total mensuel charges hors fluides énergies et eau</t>
  </si>
  <si>
    <t>Coût Total mensuel avec loyer et charges</t>
  </si>
  <si>
    <t>Coût résiduel
(Coût total-APL)</t>
  </si>
  <si>
    <t>Reste pour vivre mensuel</t>
  </si>
  <si>
    <t xml:space="preserve">UC(2)
</t>
  </si>
  <si>
    <t xml:space="preserve">Reste pour vivre   par jour &amp; par UC </t>
  </si>
  <si>
    <t xml:space="preserve">Taux de dépense contrainte logement </t>
  </si>
  <si>
    <t>Montant annuel</t>
  </si>
  <si>
    <t>Montant si mensualisé</t>
  </si>
  <si>
    <t>Reste pour vivrre  mensuel
en tenant compte du Chèque énergie (1)</t>
  </si>
  <si>
    <t>Taux de dépense contrainte logement  
si Chèque Energie mensualisé (1)</t>
  </si>
  <si>
    <t>Pour info : consommation d'énergie</t>
  </si>
  <si>
    <t>Cout de l'abonnement
d'électricité et de gaz</t>
  </si>
  <si>
    <t>nombre kWh* consommés tous postes confondus</t>
  </si>
  <si>
    <t>ratio au m²</t>
  </si>
  <si>
    <t>nombre kWh* consommés chauffage</t>
  </si>
  <si>
    <t>L'abonnement gaz est compris soit dans le chauffage, soit dans l'ECS, soit dans la cuisson</t>
  </si>
  <si>
    <t>L'abonnement d'électricité est compris dans le coût de l'éléctricité spécifique</t>
  </si>
  <si>
    <t>* kWh en énergie finale</t>
  </si>
  <si>
    <t>ville</t>
  </si>
  <si>
    <t>dept</t>
  </si>
  <si>
    <t>maison</t>
  </si>
  <si>
    <t>n°colonne retenu chgt fenetres</t>
  </si>
  <si>
    <t>usage individuel ITE</t>
  </si>
  <si>
    <t>usage individuel ITI</t>
  </si>
  <si>
    <t>usage collectif ITE</t>
  </si>
  <si>
    <t>usage collectif ITI</t>
  </si>
  <si>
    <t>logement1</t>
  </si>
  <si>
    <t>logement2</t>
  </si>
  <si>
    <t>logement3</t>
  </si>
  <si>
    <t>logement4</t>
  </si>
  <si>
    <t>logement5</t>
  </si>
  <si>
    <t>Typologie des logements</t>
  </si>
  <si>
    <t>logt1</t>
  </si>
  <si>
    <t>logt2</t>
  </si>
  <si>
    <t>logt3</t>
  </si>
  <si>
    <t>logt4</t>
  </si>
  <si>
    <t>logt5</t>
  </si>
  <si>
    <t>tarif éléc</t>
  </si>
  <si>
    <r>
      <rPr>
        <sz val="10"/>
        <rFont val="Arial"/>
        <family val="2"/>
        <charset val="1"/>
      </rPr>
      <t xml:space="preserve">rénovation RT existante : 
isolation toiture : </t>
    </r>
    <r>
      <rPr>
        <sz val="10"/>
        <rFont val="Calibri"/>
        <family val="2"/>
        <charset val="1"/>
      </rPr>
      <t>≈15</t>
    </r>
    <r>
      <rPr>
        <sz val="10"/>
        <rFont val="Arial"/>
        <family val="2"/>
        <charset val="1"/>
      </rPr>
      <t xml:space="preserve"> cm ( R&gt;4)
menuiseries double vitrages (U</t>
    </r>
    <r>
      <rPr>
        <vertAlign val="subscript"/>
        <sz val="10"/>
        <rFont val="Arial"/>
        <family val="2"/>
        <charset val="1"/>
      </rPr>
      <t>w</t>
    </r>
    <r>
      <rPr>
        <sz val="10"/>
        <rFont val="Arial"/>
        <family val="2"/>
        <charset val="1"/>
      </rPr>
      <t>&lt; 2,3)
isolant des murs : ≈9 cm ( R&gt;2 ,3)</t>
    </r>
  </si>
  <si>
    <t>hygroB</t>
  </si>
  <si>
    <t>double flux</t>
  </si>
  <si>
    <t>non changées</t>
  </si>
  <si>
    <t>changées partiellement</t>
  </si>
  <si>
    <t>Studio</t>
  </si>
  <si>
    <t>n°colonne retenu</t>
  </si>
  <si>
    <t>chauf</t>
  </si>
  <si>
    <t>ECS</t>
  </si>
  <si>
    <t>puissance retenue</t>
  </si>
  <si>
    <t>abonnement annuel en € TTc/an</t>
  </si>
  <si>
    <t>prix du kWh en  € TTc/kWh</t>
  </si>
  <si>
    <t>Abbeville</t>
  </si>
  <si>
    <t>T1</t>
  </si>
  <si>
    <t>besoin chauffage retenu brut</t>
  </si>
  <si>
    <t>logt 1</t>
  </si>
  <si>
    <t>Agen</t>
  </si>
  <si>
    <t>hygro B retenu</t>
  </si>
  <si>
    <t>logt 2</t>
  </si>
  <si>
    <t>Alençon</t>
  </si>
  <si>
    <t>T3</t>
  </si>
  <si>
    <t>double flux retenu</t>
  </si>
  <si>
    <t>logt 3</t>
  </si>
  <si>
    <t>logt 4</t>
  </si>
  <si>
    <t>logt 5</t>
  </si>
  <si>
    <t>Ambérieu</t>
  </si>
  <si>
    <t>T4</t>
  </si>
  <si>
    <t>mitoyenneté</t>
  </si>
  <si>
    <r>
      <rPr>
        <sz val="10"/>
        <rFont val="Arial"/>
        <family val="2"/>
        <charset val="1"/>
      </rPr>
      <t>consommation d'eau en m</t>
    </r>
    <r>
      <rPr>
        <b/>
        <vertAlign val="superscript"/>
        <sz val="10"/>
        <rFont val="Arial"/>
        <family val="2"/>
        <charset val="1"/>
      </rPr>
      <t>3</t>
    </r>
  </si>
  <si>
    <t>Angers</t>
  </si>
  <si>
    <t>catégorie de consommation</t>
  </si>
  <si>
    <t>base en m3/an.pers</t>
  </si>
  <si>
    <r>
      <rPr>
        <sz val="10"/>
        <rFont val="Arial"/>
        <family val="2"/>
        <charset val="1"/>
      </rPr>
      <t>estimation en m</t>
    </r>
    <r>
      <rPr>
        <vertAlign val="superscript"/>
        <sz val="10"/>
        <rFont val="Arial"/>
        <family val="2"/>
        <charset val="1"/>
      </rPr>
      <t>3</t>
    </r>
  </si>
  <si>
    <t>coût estimé</t>
  </si>
  <si>
    <t>Auxerre</t>
  </si>
  <si>
    <t>robinets hors douche et baignoire)</t>
  </si>
  <si>
    <t>Beauvais</t>
  </si>
  <si>
    <t>chasse d'eau</t>
  </si>
  <si>
    <t>Besançon</t>
  </si>
  <si>
    <t>besoin chauffage retenu net</t>
  </si>
  <si>
    <t>tarif gaz</t>
  </si>
  <si>
    <t>lave linge</t>
  </si>
  <si>
    <t>Biarritz</t>
  </si>
  <si>
    <t>besoin chauffage/m²</t>
  </si>
  <si>
    <t>Type retenu</t>
  </si>
  <si>
    <t>prix du kWh en c € TTc/kWh</t>
  </si>
  <si>
    <t>vaisselle</t>
  </si>
  <si>
    <t>Bordeaux</t>
  </si>
  <si>
    <t>correction surface</t>
  </si>
  <si>
    <t>douche</t>
  </si>
  <si>
    <t>Bourges</t>
  </si>
  <si>
    <t>correction fenetre</t>
  </si>
  <si>
    <t>TOTAL</t>
  </si>
  <si>
    <t>Brest</t>
  </si>
  <si>
    <t>besoin chauffage avec corrections</t>
  </si>
  <si>
    <t>Caen</t>
  </si>
  <si>
    <t xml:space="preserve">conso chauffage </t>
  </si>
  <si>
    <t xml:space="preserve">Chartres </t>
  </si>
  <si>
    <t>prix chauffage</t>
  </si>
  <si>
    <t>Châteauroux</t>
  </si>
  <si>
    <t>prix du kWh</t>
  </si>
  <si>
    <t>prix ecs en €</t>
  </si>
  <si>
    <t>rendement système</t>
  </si>
  <si>
    <t>énergie</t>
  </si>
  <si>
    <t>Clermont ferrand</t>
  </si>
  <si>
    <t>conso éléc spé 2: 18kwh/m².an+3,5kwh/m².an.pers_sup             en kWh</t>
  </si>
  <si>
    <t>en €</t>
  </si>
  <si>
    <t>type de production ecs</t>
  </si>
  <si>
    <t>ballon thermodynamique</t>
  </si>
  <si>
    <t>élec</t>
  </si>
  <si>
    <t>Cognac</t>
  </si>
  <si>
    <t>CESI + bois</t>
  </si>
  <si>
    <t>soleil</t>
  </si>
  <si>
    <t>Dax</t>
  </si>
  <si>
    <t>CESI + elec</t>
  </si>
  <si>
    <t>Dijon</t>
  </si>
  <si>
    <t>extérieur</t>
  </si>
  <si>
    <t>CESI + fioul</t>
  </si>
  <si>
    <t>Embrun</t>
  </si>
  <si>
    <t>CESI + gaz</t>
  </si>
  <si>
    <t>Gourdon</t>
  </si>
  <si>
    <r>
      <rPr>
        <sz val="10"/>
        <rFont val="Arial"/>
        <family val="2"/>
        <charset val="1"/>
      </rPr>
      <t xml:space="preserve">rénovation RT existante (avant 2018) : 
isolation toiture : </t>
    </r>
    <r>
      <rPr>
        <sz val="10"/>
        <rFont val="Calibri"/>
        <family val="2"/>
        <charset val="1"/>
      </rPr>
      <t>≈15</t>
    </r>
    <r>
      <rPr>
        <sz val="10"/>
        <rFont val="Arial"/>
        <family val="2"/>
        <charset val="1"/>
      </rPr>
      <t xml:space="preserve"> cm ( R&gt;4)
menuiseries double vitrages (U</t>
    </r>
    <r>
      <rPr>
        <vertAlign val="subscript"/>
        <sz val="10"/>
        <rFont val="Arial"/>
        <family val="2"/>
        <charset val="1"/>
      </rPr>
      <t>w</t>
    </r>
    <r>
      <rPr>
        <sz val="10"/>
        <rFont val="Arial"/>
        <family val="2"/>
        <charset val="1"/>
      </rPr>
      <t>&lt; 2,3)
isolant des murs : ≈9 cm ( R&gt;2 ,3)</t>
    </r>
  </si>
  <si>
    <t>ballon élec + de 15 ans</t>
  </si>
  <si>
    <t>Grenoble</t>
  </si>
  <si>
    <t>ballon élec de 5 à 15 ans</t>
  </si>
  <si>
    <t>La Rochelle</t>
  </si>
  <si>
    <t>cuisson 350 kWh +80 kwh.pers_sup                                           kWh</t>
  </si>
  <si>
    <t>Langres</t>
  </si>
  <si>
    <t>fioul</t>
  </si>
  <si>
    <t>Le Mans</t>
  </si>
  <si>
    <t>gaz naturel</t>
  </si>
  <si>
    <t>gaz</t>
  </si>
  <si>
    <t>Lille</t>
  </si>
  <si>
    <t>solaire collectif + bois</t>
  </si>
  <si>
    <t>Limoges</t>
  </si>
  <si>
    <t>indépendante</t>
  </si>
  <si>
    <t>partiellement</t>
  </si>
  <si>
    <t>solaire collectif + elec</t>
  </si>
  <si>
    <t>Lorient</t>
  </si>
  <si>
    <t>solaire collectif + fioul</t>
  </si>
  <si>
    <t>Luxeuil</t>
  </si>
  <si>
    <t>2 cotés</t>
  </si>
  <si>
    <t>solaire collectif + gaz</t>
  </si>
  <si>
    <t>Lyon</t>
  </si>
  <si>
    <t>nombre kWh ECS</t>
  </si>
  <si>
    <t>Mâcon</t>
  </si>
  <si>
    <t>VMC Simple flux autoréglable</t>
  </si>
  <si>
    <t>generateur</t>
  </si>
  <si>
    <t>rendement tout compris</t>
  </si>
  <si>
    <t>ECS retenu</t>
  </si>
  <si>
    <t>VMC Simple flux hygroréglable type B</t>
  </si>
  <si>
    <t>chaudiere bois buche</t>
  </si>
  <si>
    <t xml:space="preserve">bois </t>
  </si>
  <si>
    <t>Metz</t>
  </si>
  <si>
    <t>VMC Double flux</t>
  </si>
  <si>
    <t>chaudiere bois granulés</t>
  </si>
  <si>
    <t>Millau</t>
  </si>
  <si>
    <t>chaudiere fioul basse température</t>
  </si>
  <si>
    <t>Mont de Marsan</t>
  </si>
  <si>
    <t>gaz de ville</t>
  </si>
  <si>
    <t>chaudiere fioul condensation émetteur basse température</t>
  </si>
  <si>
    <t>Montélimar</t>
  </si>
  <si>
    <t>gaz bouteille</t>
  </si>
  <si>
    <t>chaudiere fioul condensation émetteur haute température</t>
  </si>
  <si>
    <t>Montpellier</t>
  </si>
  <si>
    <t>chaudiere gaz naturel basse température</t>
  </si>
  <si>
    <t>Mulhouse</t>
  </si>
  <si>
    <t>chaudiere gaz naturel condensation émetteur basse température</t>
  </si>
  <si>
    <t>Nancy</t>
  </si>
  <si>
    <t>chaudiere gaz naturel condensation émetteur haute température</t>
  </si>
  <si>
    <t>Nantes</t>
  </si>
  <si>
    <t>chauffage bois + éléctricité (80-20)</t>
  </si>
  <si>
    <t>Nevers</t>
  </si>
  <si>
    <t>pac air-air</t>
  </si>
  <si>
    <t>Nice</t>
  </si>
  <si>
    <t>pac air-eau plancher chauffant</t>
  </si>
  <si>
    <t>Nimes</t>
  </si>
  <si>
    <t>pac air-eau radiateur basse température</t>
  </si>
  <si>
    <t>Orange</t>
  </si>
  <si>
    <t>pac air-eau radiateur haute température</t>
  </si>
  <si>
    <t>Orléans</t>
  </si>
  <si>
    <t>plancher chauffant électrique</t>
  </si>
  <si>
    <t>Paris</t>
  </si>
  <si>
    <t>poêle à bois buche</t>
  </si>
  <si>
    <t>Pau</t>
  </si>
  <si>
    <t>poêle à bois granulés</t>
  </si>
  <si>
    <t>Perpignan</t>
  </si>
  <si>
    <t>radiateur électrique à accumulation</t>
  </si>
  <si>
    <t>Poitiers</t>
  </si>
  <si>
    <t>radiateur électrique rayonnant</t>
  </si>
  <si>
    <t>Reims</t>
  </si>
  <si>
    <t>convecteur électrique + de 10 ans</t>
  </si>
  <si>
    <t>Rennes</t>
  </si>
  <si>
    <t>Rouen</t>
  </si>
  <si>
    <t>Saint Girons</t>
  </si>
  <si>
    <t>Saint-Dizier</t>
  </si>
  <si>
    <t>Saint-Etienne</t>
  </si>
  <si>
    <t>Saint-Quentin</t>
  </si>
  <si>
    <t>Strasbourg</t>
  </si>
  <si>
    <t>Tarbes</t>
  </si>
  <si>
    <t>Toulon</t>
  </si>
  <si>
    <t>Toulouse</t>
  </si>
  <si>
    <t>Tours</t>
  </si>
  <si>
    <t>Trappes</t>
  </si>
  <si>
    <t>Simulation coût d'usage - Feuille de saisie pour des immeubles ou lots de copropriété</t>
  </si>
  <si>
    <t>Maître d'ouvrage/porteur du projet :</t>
  </si>
  <si>
    <t>AIPI</t>
  </si>
  <si>
    <t>Année construction immeuble :</t>
  </si>
  <si>
    <t>≥1975</t>
  </si>
  <si>
    <r>
      <rPr>
        <b/>
        <u/>
        <sz val="12"/>
        <color rgb="FF000000"/>
        <rFont val="Calibri"/>
        <family val="2"/>
        <charset val="1"/>
      </rPr>
      <t xml:space="preserve">Lecture des ressources :
</t>
    </r>
    <r>
      <rPr>
        <sz val="11"/>
        <color rgb="FF000000"/>
        <rFont val="Calibri"/>
        <family val="2"/>
        <charset val="1"/>
      </rPr>
      <t xml:space="preserve">
</t>
    </r>
    <r>
      <rPr>
        <u/>
        <sz val="11"/>
        <color rgb="FF000000"/>
        <rFont val="Calibri"/>
        <family val="2"/>
        <charset val="1"/>
      </rPr>
      <t>RSA Socle / Parent isolé :</t>
    </r>
    <r>
      <rPr>
        <sz val="11"/>
        <color rgb="FF000000"/>
        <rFont val="Calibri"/>
        <family val="2"/>
        <charset val="1"/>
      </rPr>
      <t xml:space="preserve"> le calcul se fait sans les allocations logement
</t>
    </r>
    <r>
      <rPr>
        <u/>
        <sz val="11"/>
        <color rgb="FF000000"/>
        <rFont val="Calibri"/>
        <family val="2"/>
        <charset val="1"/>
      </rPr>
      <t>Salaire :</t>
    </r>
    <r>
      <rPr>
        <sz val="11"/>
        <color rgb="FF000000"/>
        <rFont val="Calibri"/>
        <family val="2"/>
        <charset val="1"/>
      </rPr>
      <t xml:space="preserve"> ce sont des montants pris par défaut,  ils peuvent être utilisés pour une pension de retraite ou d'invalidité
</t>
    </r>
    <r>
      <rPr>
        <u/>
        <sz val="11"/>
        <color rgb="FF000000"/>
        <rFont val="Calibri"/>
        <family val="2"/>
        <charset val="1"/>
      </rPr>
      <t>Aucune ressource :</t>
    </r>
    <r>
      <rPr>
        <sz val="11"/>
        <color rgb="FF000000"/>
        <rFont val="Calibri"/>
        <family val="2"/>
        <charset val="1"/>
      </rPr>
      <t xml:space="preserve"> Si un des membres du couple n'a pas de ressource, il faut l'indiquer pour la bonne réalisation des calculs</t>
    </r>
  </si>
  <si>
    <t>Isolation toiture du bâtiment après sa construction ≈ 15 cm (R &gt; 4) :</t>
  </si>
  <si>
    <t>oui</t>
  </si>
  <si>
    <t>Isolation par l'extérieur du bâtiment après sa construction ≈ 9 cm (R &gt; 2 ,3) :</t>
  </si>
  <si>
    <t>Isolation plancher bas RDC ou plancher haut cave du bâtiment après sa construction  ≈ 10 cm (R &gt; 2) :</t>
  </si>
  <si>
    <t>changement des fenêtres (Uw &lt; 2,3) :</t>
  </si>
  <si>
    <t>Isolation par l'intérieur de l'appartement prévue ≈ 14 cm (R &gt; 3,7)</t>
  </si>
  <si>
    <t>Etage</t>
  </si>
  <si>
    <t>Nombres de personnes :</t>
  </si>
  <si>
    <t>Loyer mensuel :</t>
  </si>
  <si>
    <r>
      <rPr>
        <b/>
        <sz val="11"/>
        <color rgb="FF000000"/>
        <rFont val="Calibri"/>
        <family val="2"/>
        <charset val="1"/>
      </rPr>
      <t>Charges (hors énergie et eau)</t>
    </r>
    <r>
      <rPr>
        <b/>
        <sz val="11"/>
        <color rgb="FFFF0000"/>
        <rFont val="Calibri"/>
        <family val="2"/>
        <charset val="1"/>
      </rPr>
      <t xml:space="preserve"> saisie des coûts au m2 et/ou à l'année</t>
    </r>
  </si>
  <si>
    <t>Montant Chèque Energie</t>
  </si>
  <si>
    <t>Montant mensuel APL(2)</t>
  </si>
  <si>
    <r>
      <rPr>
        <b/>
        <sz val="11"/>
        <color rgb="FF000000"/>
        <rFont val="Calibri"/>
        <family val="2"/>
        <charset val="1"/>
      </rPr>
      <t xml:space="preserve">Contrats d'entretien annuel 
</t>
    </r>
    <r>
      <rPr>
        <b/>
        <sz val="11"/>
        <color rgb="FFFF0000"/>
        <rFont val="Calibri"/>
        <family val="2"/>
        <charset val="1"/>
      </rPr>
      <t>en €/lgt</t>
    </r>
  </si>
  <si>
    <r>
      <rPr>
        <b/>
        <sz val="11"/>
        <color rgb="FF000000"/>
        <rFont val="Calibri"/>
        <family val="2"/>
        <charset val="1"/>
      </rPr>
      <t>Assurance habitation</t>
    </r>
    <r>
      <rPr>
        <b/>
        <sz val="11"/>
        <color rgb="FFFF0000"/>
        <rFont val="Calibri"/>
        <family val="2"/>
        <charset val="1"/>
      </rPr>
      <t xml:space="preserve"> en €/lgt/an</t>
    </r>
  </si>
  <si>
    <t>N°4</t>
  </si>
  <si>
    <t>rez de chaussée</t>
  </si>
  <si>
    <t>N5</t>
  </si>
  <si>
    <t>N7</t>
  </si>
  <si>
    <t>dernier étage</t>
  </si>
  <si>
    <t>N8</t>
  </si>
  <si>
    <t>Salaire 
650 €/mois</t>
  </si>
  <si>
    <t>N9</t>
  </si>
  <si>
    <t>N10</t>
  </si>
  <si>
    <t>N11</t>
  </si>
  <si>
    <t>(1) Nettoyage et électricité parties communes, TEOM, etc.</t>
  </si>
  <si>
    <t>Evaluation du coût d'usage après travaux - immeubles ou lots de copropriété</t>
  </si>
  <si>
    <r>
      <rPr>
        <b/>
        <sz val="14"/>
        <rFont val="Calibri"/>
        <family val="2"/>
        <charset val="1"/>
      </rPr>
      <t>Reste pour vivre du ménage et par UC</t>
    </r>
    <r>
      <rPr>
        <b/>
        <sz val="9"/>
        <rFont val="Calibri"/>
        <family val="2"/>
        <charset val="1"/>
      </rPr>
      <t>(2)</t>
    </r>
  </si>
  <si>
    <t xml:space="preserve">Coût Total mensuel charges hors fluides (énergie et eau) </t>
  </si>
  <si>
    <t>Taux de dépense contrainte logement si Chèque Energie mensualisé (1)</t>
  </si>
  <si>
    <t>Coût de l'abonnement
d'électricité et de gaz</t>
  </si>
  <si>
    <t>kWh* consommés tous postes</t>
  </si>
  <si>
    <t xml:space="preserve"> kWh* consommés chauffage</t>
  </si>
  <si>
    <t>logement 1</t>
  </si>
  <si>
    <t>logement 2</t>
  </si>
  <si>
    <t>logement 3</t>
  </si>
  <si>
    <t>logement 4</t>
  </si>
  <si>
    <t>logement 5</t>
  </si>
  <si>
    <t>logement 6</t>
  </si>
  <si>
    <t>logement 7</t>
  </si>
  <si>
    <t>logement 8</t>
  </si>
  <si>
    <t>logement 9</t>
  </si>
  <si>
    <t>logement 10</t>
  </si>
  <si>
    <t>zone géo</t>
  </si>
  <si>
    <t>intermédiaire</t>
  </si>
  <si>
    <t>&lt;1975</t>
  </si>
  <si>
    <r>
      <rPr>
        <sz val="11"/>
        <color rgb="FF000000"/>
        <rFont val="Calibri"/>
        <family val="2"/>
        <charset val="1"/>
      </rPr>
      <t>consommation d'eau froide en m</t>
    </r>
    <r>
      <rPr>
        <vertAlign val="superscript"/>
        <sz val="11"/>
        <color rgb="FF000000"/>
        <rFont val="Calibri"/>
        <family val="2"/>
        <charset val="1"/>
      </rPr>
      <t>3</t>
    </r>
  </si>
  <si>
    <t>n° ligne retenu</t>
  </si>
  <si>
    <t>zone geo retenue</t>
  </si>
  <si>
    <t>hygro B</t>
  </si>
  <si>
    <t>reduction iso toiture</t>
  </si>
  <si>
    <t>reduction iso ext</t>
  </si>
  <si>
    <t>reduction iso int</t>
  </si>
  <si>
    <t>iso plancher bas</t>
  </si>
  <si>
    <t>correction fénêtres</t>
  </si>
  <si>
    <t>besoin chauffage net ind</t>
  </si>
  <si>
    <t>besoin chauffage net coll</t>
  </si>
  <si>
    <t>conso chauffage</t>
  </si>
  <si>
    <t xml:space="preserve">puissance retenu </t>
  </si>
  <si>
    <t>remise TPN</t>
  </si>
  <si>
    <t>kwh gaz</t>
  </si>
  <si>
    <t>remise TSS</t>
  </si>
  <si>
    <t>rendement chauffage</t>
  </si>
  <si>
    <t>prix du kwh</t>
  </si>
  <si>
    <t>kWh retenu</t>
  </si>
  <si>
    <t>rendement</t>
  </si>
  <si>
    <t>energie</t>
  </si>
  <si>
    <t>prix ECS</t>
  </si>
  <si>
    <t>Logement 25</t>
  </si>
  <si>
    <t>Logement 26</t>
  </si>
  <si>
    <t>Logement 27</t>
  </si>
  <si>
    <t>Logement 28</t>
  </si>
  <si>
    <t>Logement 29</t>
  </si>
  <si>
    <t>Logement 30</t>
  </si>
  <si>
    <t>Logement 31</t>
  </si>
  <si>
    <t>Logement 32</t>
  </si>
  <si>
    <t>Logement 33</t>
  </si>
  <si>
    <t>Logement 34</t>
  </si>
  <si>
    <t>Logement 35</t>
  </si>
  <si>
    <t>Logement 36</t>
  </si>
  <si>
    <t>Logement 37</t>
  </si>
  <si>
    <t>Logement 38</t>
  </si>
  <si>
    <t>Logement 39</t>
  </si>
  <si>
    <t>Logement 40</t>
  </si>
  <si>
    <t>Allocation d'adulte handicapé</t>
  </si>
  <si>
    <t>type d'energie ecs</t>
  </si>
  <si>
    <t>ASSEDIC</t>
  </si>
  <si>
    <t>bois buche</t>
  </si>
  <si>
    <t>bois</t>
  </si>
  <si>
    <t>Minimas sociaux</t>
  </si>
  <si>
    <t>bois granulés</t>
  </si>
  <si>
    <t>Salaire</t>
  </si>
  <si>
    <t>Retraite</t>
  </si>
  <si>
    <t>élec+bois</t>
  </si>
  <si>
    <t>plancher chauffant éléctrique</t>
  </si>
  <si>
    <t>non</t>
  </si>
  <si>
    <t>Si minima sociaux (RSA, AAH) : montant max en fonction de la situation familiale</t>
  </si>
  <si>
    <t>Sinon, estimation d'un RFR en fonction des profils de revenus :</t>
  </si>
  <si>
    <t>https://www.energie-info.fr/fiche_pratique/le-cheque-energie/</t>
  </si>
  <si>
    <t>MAJ 29/01/2020 / loi de finance en attente pour montant 2020</t>
  </si>
  <si>
    <t>RFR 2018 par UC &lt; à :</t>
  </si>
  <si>
    <t>Nb d'UC : 1 pour la 1ière personne, 0,5 pour la seconde, 0,3 pour les suivantes</t>
  </si>
  <si>
    <t>CALCUL POUR MAISON INDIVIDUELLE</t>
  </si>
  <si>
    <t>Nb d'UC</t>
  </si>
  <si>
    <t>Rev mensuel estimatif à déclarer R1</t>
  </si>
  <si>
    <t>Rev mensuel estimatif à déclarer R2</t>
  </si>
  <si>
    <t>RFR estimatif</t>
  </si>
  <si>
    <t>RFR / UC</t>
  </si>
  <si>
    <t>Montant du chèque Energie</t>
  </si>
  <si>
    <t>CALCUL POUR IMMEUBLE</t>
  </si>
  <si>
    <t>MAJ 29/01/2020</t>
  </si>
  <si>
    <t>https://www.aide-sociale.fr/rsa-socle-dossier-calcul/</t>
  </si>
  <si>
    <t>1ier revenu</t>
  </si>
  <si>
    <t>2nd revenu</t>
  </si>
  <si>
    <t>Aucune ressource</t>
  </si>
  <si>
    <t>formules pour info</t>
  </si>
  <si>
    <t>SMIC net 35h 
1 227€/mois</t>
  </si>
  <si>
    <t>Salaire 
300 €/mois</t>
  </si>
  <si>
    <t>Allocations familiales</t>
  </si>
  <si>
    <t>*tant que les enfants ont moins de 20 ans</t>
  </si>
  <si>
    <t>Salaire 
900 €/mois</t>
  </si>
  <si>
    <t>https://www.service-public.fr/particuliers/vosdroits/F13213</t>
  </si>
  <si>
    <t>https://www.service-public.fr/particuliers/vosdroits/F16871</t>
  </si>
  <si>
    <t>AAH</t>
  </si>
  <si>
    <t>https://www.service-public.fr/particuliers/vosdroits/F12242</t>
  </si>
  <si>
    <t>tarif réglementé pour l'électricité - MAJ janvier 2020</t>
  </si>
  <si>
    <t>https://www.fournisseurs-electricite.com/edf/tarifs/bleu-reglemente</t>
  </si>
  <si>
    <t>option base TTC</t>
  </si>
  <si>
    <t>puissance souscrite</t>
  </si>
  <si>
    <t>prix du kWh en € TTc/kWh</t>
  </si>
  <si>
    <t>tarif réglementé pour le gaz de ville - MAJ janvier 2020</t>
  </si>
  <si>
    <t>https://www.fournisseurs-electricite.com/engie/tarifs/tarif-reglemente-gaz</t>
  </si>
  <si>
    <t>type</t>
  </si>
  <si>
    <t>base</t>
  </si>
  <si>
    <t>B0</t>
  </si>
  <si>
    <t>B1</t>
  </si>
  <si>
    <t>source tarif ajena - MAJ nov 2019</t>
  </si>
  <si>
    <t>https://www.ajena.org/ressources/argus-energie.htm</t>
  </si>
  <si>
    <t>type d'énergie</t>
  </si>
  <si>
    <t>prix du kWh en €</t>
  </si>
  <si>
    <t>gaz bouteille 13 kg</t>
  </si>
  <si>
    <t>Protéger la feuille :</t>
  </si>
  <si>
    <t>Accueil / Format / Protéger la feuille</t>
  </si>
  <si>
    <t>Supprimer les #N/A :</t>
  </si>
  <si>
    <t>https://apprendreexcel.com/excel-message-erreur-na/</t>
  </si>
  <si>
    <t>Supprimer les #VALEUR ou #DIV0 :</t>
  </si>
  <si>
    <t>https://www.commentcamarche.net/forum/affich-2886210-excel-ne-pas-afficher-valeur</t>
  </si>
  <si>
    <t>SI(ESTERREUR(XX);0;XX)</t>
  </si>
  <si>
    <t>Seul avec AL</t>
  </si>
  <si>
    <t>Couple avec AL</t>
  </si>
  <si>
    <t>Seul + enf av AL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</si>
</sst>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 [$€-40C]_-;\-* #,##0\ [$€-40C]_-;_-* \-??\ [$€-40C]_-;_-@_-"/>
    <numFmt numFmtId="165" formatCode="#,##0&quot; €&quot;;[Red]\-#,##0&quot; €&quot;"/>
    <numFmt numFmtId="166" formatCode="_-* #,##0.00&quot; €&quot;_-;\-* #,##0.00&quot; €&quot;_-;_-* \-??&quot; €&quot;_-;_-@_-"/>
    <numFmt numFmtId="167" formatCode="_-* #,##0&quot; €&quot;_-;\-* #,##0&quot; €&quot;_-;_-* \-??&quot; €&quot;_-;_-@_-"/>
    <numFmt numFmtId="168" formatCode="0\ %"/>
    <numFmt numFmtId="169" formatCode="_-* #,##0.00\ _€_-;\-* #,##0.00\ _€_-;_-* \-??\ _€_-;_-@_-"/>
    <numFmt numFmtId="170" formatCode="_-* #,##0\ _€_-;\-* #,##0\ _€_-;_-* \-??\ _€_-;_-@_-"/>
    <numFmt numFmtId="171" formatCode="0.000"/>
  </numFmts>
  <fonts count="39" x14ac:knownFonts="1">
    <font>
      <sz val="11"/>
      <color rgb="FF000000"/>
      <name val="Calibri"/>
      <family val="2"/>
      <charset val="1"/>
    </font>
    <font>
      <b/>
      <sz val="20"/>
      <color rgb="FF806000"/>
      <name val="Calibri"/>
      <family val="2"/>
      <charset val="1"/>
    </font>
    <font>
      <b/>
      <sz val="11"/>
      <name val="Calibri"/>
      <family val="2"/>
      <charset val="1"/>
    </font>
    <font>
      <b/>
      <sz val="14"/>
      <color rgb="FF806000"/>
      <name val="Calibri"/>
      <family val="2"/>
      <charset val="1"/>
    </font>
    <font>
      <b/>
      <u/>
      <sz val="12"/>
      <color rgb="FF806000"/>
      <name val="Calibri"/>
      <family val="2"/>
      <charset val="1"/>
    </font>
    <font>
      <b/>
      <u/>
      <sz val="12"/>
      <color rgb="FF002060"/>
      <name val="Calibri"/>
      <family val="2"/>
      <charset val="1"/>
    </font>
    <font>
      <b/>
      <u/>
      <sz val="12"/>
      <color rgb="FF000000"/>
      <name val="Calibri"/>
      <family val="2"/>
      <charset val="1"/>
    </font>
    <font>
      <b/>
      <u/>
      <sz val="8.8000000000000007"/>
      <color rgb="FF0563C1"/>
      <name val="Calibri"/>
      <family val="2"/>
      <charset val="1"/>
    </font>
    <font>
      <u/>
      <sz val="8.8000000000000007"/>
      <color rgb="FF0563C1"/>
      <name val="Calibri"/>
      <family val="2"/>
      <charset val="1"/>
    </font>
    <font>
      <b/>
      <sz val="24"/>
      <color rgb="FFFFFFFF"/>
      <name val="Calibri"/>
      <family val="2"/>
      <charset val="1"/>
    </font>
    <font>
      <b/>
      <sz val="12"/>
      <color rgb="FFFFFFFF"/>
      <name val="Calibri"/>
      <family val="2"/>
      <charset val="1"/>
    </font>
    <font>
      <sz val="12"/>
      <color rgb="FF000000"/>
      <name val="Calibri"/>
      <family val="2"/>
      <charset val="1"/>
    </font>
    <font>
      <b/>
      <sz val="11"/>
      <color rgb="FF000000"/>
      <name val="Calibri"/>
      <family val="2"/>
      <charset val="1"/>
    </font>
    <font>
      <b/>
      <vertAlign val="superscript"/>
      <sz val="11"/>
      <color rgb="FF000000"/>
      <name val="Calibri"/>
      <family val="2"/>
      <charset val="1"/>
    </font>
    <font>
      <b/>
      <sz val="11"/>
      <color rgb="FFFF0000"/>
      <name val="Calibri"/>
      <family val="2"/>
      <charset val="1"/>
    </font>
    <font>
      <sz val="8"/>
      <color rgb="FF000000"/>
      <name val="Calibri"/>
      <family val="2"/>
      <charset val="1"/>
    </font>
    <font>
      <b/>
      <sz val="8"/>
      <color rgb="FF000000"/>
      <name val="Calibri"/>
      <family val="2"/>
      <charset val="1"/>
    </font>
    <font>
      <sz val="10"/>
      <color rgb="FF000000"/>
      <name val="Calibri"/>
      <family val="2"/>
      <charset val="1"/>
    </font>
    <font>
      <u/>
      <sz val="11"/>
      <color rgb="FF000000"/>
      <name val="Calibri"/>
      <family val="2"/>
      <charset val="1"/>
    </font>
    <font>
      <b/>
      <sz val="12"/>
      <color rgb="FF000000"/>
      <name val="Calibri"/>
      <family val="2"/>
      <charset val="1"/>
    </font>
    <font>
      <b/>
      <sz val="24"/>
      <color rgb="FF44546A"/>
      <name val="Calibri"/>
      <family val="2"/>
      <charset val="1"/>
    </font>
    <font>
      <b/>
      <sz val="14"/>
      <name val="Calibri"/>
      <family val="2"/>
      <charset val="1"/>
    </font>
    <font>
      <b/>
      <sz val="10"/>
      <name val="Calibri"/>
      <family val="2"/>
      <charset val="1"/>
    </font>
    <font>
      <sz val="11"/>
      <name val="Calibri"/>
      <family val="2"/>
      <charset val="1"/>
    </font>
    <font>
      <b/>
      <i/>
      <sz val="14"/>
      <name val="Calibri"/>
      <family val="2"/>
      <charset val="1"/>
    </font>
    <font>
      <b/>
      <sz val="10"/>
      <color rgb="FF000000"/>
      <name val="Calibri"/>
      <family val="2"/>
      <charset val="1"/>
    </font>
    <font>
      <sz val="10"/>
      <name val="Arial"/>
      <family val="2"/>
      <charset val="1"/>
    </font>
    <font>
      <sz val="10"/>
      <name val="Calibri"/>
      <family val="2"/>
      <charset val="1"/>
    </font>
    <font>
      <vertAlign val="subscript"/>
      <sz val="10"/>
      <name val="Arial"/>
      <family val="2"/>
      <charset val="1"/>
    </font>
    <font>
      <sz val="9"/>
      <color rgb="FF000000"/>
      <name val="Calibri"/>
      <family val="2"/>
      <charset val="1"/>
    </font>
    <font>
      <b/>
      <vertAlign val="superscript"/>
      <sz val="10"/>
      <name val="Arial"/>
      <family val="2"/>
      <charset val="1"/>
    </font>
    <font>
      <vertAlign val="superscript"/>
      <sz val="10"/>
      <name val="Arial"/>
      <family val="2"/>
      <charset val="1"/>
    </font>
    <font>
      <sz val="8"/>
      <name val="Arial"/>
      <family val="2"/>
      <charset val="1"/>
    </font>
    <font>
      <b/>
      <sz val="16"/>
      <color rgb="FFFFFFFF"/>
      <name val="Calibri"/>
      <family val="2"/>
      <charset val="1"/>
    </font>
    <font>
      <b/>
      <sz val="9"/>
      <name val="Calibri"/>
      <family val="2"/>
      <charset val="1"/>
    </font>
    <font>
      <vertAlign val="superscript"/>
      <sz val="11"/>
      <color rgb="FF000000"/>
      <name val="Calibri"/>
      <family val="2"/>
      <charset val="1"/>
    </font>
    <font>
      <sz val="10"/>
      <color rgb="FF000000"/>
      <name val="Arial"/>
      <family val="2"/>
      <charset val="1"/>
    </font>
    <font>
      <b/>
      <u/>
      <sz val="11"/>
      <color rgb="FF000000"/>
      <name val="Calibri"/>
      <family val="2"/>
      <charset val="1"/>
    </font>
    <font>
      <sz val="11"/>
      <color rgb="FF000000"/>
      <name val="Calibri"/>
      <family val="2"/>
      <charset val="1"/>
    </font>
  </fonts>
  <fills count="22">
    <fill>
      <patternFill patternType="none"/>
    </fill>
    <fill>
      <patternFill patternType="gray125"/>
    </fill>
    <fill>
      <patternFill patternType="solid">
        <fgColor rgb="FFFFFFFF"/>
        <bgColor rgb="FFF2F2F2"/>
      </patternFill>
    </fill>
    <fill>
      <patternFill patternType="solid">
        <fgColor rgb="FFF2F2F2"/>
        <bgColor rgb="FFEDEDED"/>
      </patternFill>
    </fill>
    <fill>
      <patternFill patternType="solid">
        <fgColor rgb="FF002060"/>
        <bgColor rgb="FF000080"/>
      </patternFill>
    </fill>
    <fill>
      <patternFill patternType="solid">
        <fgColor rgb="FFFFD966"/>
        <bgColor rgb="FFF8CBAD"/>
      </patternFill>
    </fill>
    <fill>
      <patternFill patternType="solid">
        <fgColor rgb="FFB4C7E7"/>
        <bgColor rgb="FFC9C9C9"/>
      </patternFill>
    </fill>
    <fill>
      <patternFill patternType="solid">
        <fgColor rgb="FFF8CBAD"/>
        <bgColor rgb="FFFBE5D6"/>
      </patternFill>
    </fill>
    <fill>
      <patternFill patternType="solid">
        <fgColor rgb="FFDAE3F3"/>
        <bgColor rgb="FFDEEBF7"/>
      </patternFill>
    </fill>
    <fill>
      <patternFill patternType="solid">
        <fgColor rgb="FFC9C9C9"/>
        <bgColor rgb="FFB4C7E7"/>
      </patternFill>
    </fill>
    <fill>
      <patternFill patternType="solid">
        <fgColor rgb="FF4472C4"/>
        <bgColor rgb="FF5B9BD5"/>
      </patternFill>
    </fill>
    <fill>
      <patternFill patternType="solid">
        <fgColor rgb="FFEDEDED"/>
        <bgColor rgb="FFF2F2F2"/>
      </patternFill>
    </fill>
    <fill>
      <patternFill patternType="solid">
        <fgColor rgb="FFED7D31"/>
        <bgColor rgb="FFFF8080"/>
      </patternFill>
    </fill>
    <fill>
      <patternFill patternType="solid">
        <fgColor rgb="FFFBE5D6"/>
        <bgColor rgb="FFFFF2CC"/>
      </patternFill>
    </fill>
    <fill>
      <patternFill patternType="solid">
        <fgColor rgb="FFF4B183"/>
        <bgColor rgb="FFF8CBAD"/>
      </patternFill>
    </fill>
    <fill>
      <patternFill patternType="solid">
        <fgColor rgb="FFFF0000"/>
        <bgColor rgb="FF993300"/>
      </patternFill>
    </fill>
    <fill>
      <patternFill patternType="solid">
        <fgColor rgb="FFDEEBF7"/>
        <bgColor rgb="FFDAE3F3"/>
      </patternFill>
    </fill>
    <fill>
      <patternFill patternType="solid">
        <fgColor rgb="FFE2F0D9"/>
        <bgColor rgb="FFEDEDED"/>
      </patternFill>
    </fill>
    <fill>
      <patternFill patternType="solid">
        <fgColor rgb="FFFFC000"/>
        <bgColor rgb="FFFF9900"/>
      </patternFill>
    </fill>
    <fill>
      <patternFill patternType="solid">
        <fgColor rgb="FFFFFF00"/>
        <bgColor rgb="FFFFD966"/>
      </patternFill>
    </fill>
    <fill>
      <patternFill patternType="solid">
        <fgColor rgb="FFFFF2CC"/>
        <bgColor rgb="FFFBE5D6"/>
      </patternFill>
    </fill>
    <fill>
      <patternFill patternType="solid">
        <fgColor rgb="FF6AA443"/>
        <bgColor rgb="FF808080"/>
      </patternFill>
    </fill>
  </fills>
  <borders count="51">
    <border>
      <left/>
      <right/>
      <top/>
      <bottom/>
      <diagonal/>
    </border>
    <border>
      <left style="thin">
        <color auto="1"/>
      </left>
      <right style="thin">
        <color auto="1"/>
      </right>
      <top style="thin">
        <color auto="1"/>
      </top>
      <bottom style="thin">
        <color auto="1"/>
      </bottom>
      <diagonal/>
    </border>
    <border>
      <left style="thin">
        <color rgb="FF404040"/>
      </left>
      <right style="thin">
        <color rgb="FF404040"/>
      </right>
      <top style="thin">
        <color rgb="FF404040"/>
      </top>
      <bottom style="thin">
        <color rgb="FF404040"/>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thick">
        <color auto="1"/>
      </left>
      <right/>
      <top/>
      <bottom style="thin">
        <color auto="1"/>
      </bottom>
      <diagonal/>
    </border>
    <border>
      <left style="thick">
        <color auto="1"/>
      </left>
      <right style="thick">
        <color auto="1"/>
      </right>
      <top style="thick">
        <color auto="1"/>
      </top>
      <bottom style="thin">
        <color auto="1"/>
      </bottom>
      <diagonal/>
    </border>
    <border>
      <left style="thick">
        <color auto="1"/>
      </left>
      <right/>
      <top/>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ck">
        <color auto="1"/>
      </top>
      <bottom style="thin">
        <color auto="1"/>
      </bottom>
      <diagonal/>
    </border>
    <border>
      <left style="thick">
        <color auto="1"/>
      </left>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rgb="FF404040"/>
      </left>
      <right style="thin">
        <color rgb="FF404040"/>
      </right>
      <top style="thin">
        <color rgb="FF404040"/>
      </top>
      <bottom/>
      <diagonal/>
    </border>
    <border>
      <left style="thin">
        <color rgb="FF404040"/>
      </left>
      <right/>
      <top style="thin">
        <color rgb="FF404040"/>
      </top>
      <bottom style="thin">
        <color rgb="FF404040"/>
      </bottom>
      <diagonal/>
    </border>
  </borders>
  <cellStyleXfs count="5">
    <xf numFmtId="0" fontId="0" fillId="0" borderId="0"/>
    <xf numFmtId="169" fontId="38" fillId="0" borderId="0" applyBorder="0" applyProtection="0"/>
    <xf numFmtId="166" fontId="38" fillId="0" borderId="0" applyBorder="0" applyProtection="0"/>
    <xf numFmtId="168" fontId="38" fillId="0" borderId="0" applyBorder="0" applyProtection="0"/>
    <xf numFmtId="0" fontId="8" fillId="0" borderId="0" applyBorder="0" applyProtection="0"/>
  </cellStyleXfs>
  <cellXfs count="320">
    <xf numFmtId="0" fontId="0" fillId="0" borderId="0" xfId="0"/>
    <xf numFmtId="0" fontId="0" fillId="5" borderId="1" xfId="0" applyFont="1" applyFill="1" applyBorder="1" applyAlignment="1" applyProtection="1">
      <alignment horizontal="center" vertical="center" wrapText="1"/>
    </xf>
    <xf numFmtId="0" fontId="0" fillId="6" borderId="1" xfId="0" applyFont="1" applyFill="1" applyBorder="1" applyAlignment="1" applyProtection="1">
      <alignment horizontal="center" vertical="center" wrapText="1"/>
    </xf>
    <xf numFmtId="166" fontId="0" fillId="5" borderId="1" xfId="2" applyFont="1" applyFill="1" applyBorder="1" applyAlignment="1" applyProtection="1">
      <alignment horizontal="center" vertical="center" wrapText="1"/>
      <protection locked="0"/>
    </xf>
    <xf numFmtId="0" fontId="12" fillId="3" borderId="9" xfId="0"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xf>
    <xf numFmtId="0" fontId="9" fillId="4" borderId="3" xfId="0" applyFont="1" applyFill="1" applyBorder="1" applyAlignment="1" applyProtection="1">
      <alignment horizontal="left" vertical="center" wrapText="1" indent="4"/>
    </xf>
    <xf numFmtId="0" fontId="0" fillId="3" borderId="2" xfId="0" applyFill="1" applyBorder="1" applyAlignment="1">
      <alignment horizontal="center" vertical="center"/>
    </xf>
    <xf numFmtId="0" fontId="6" fillId="0" borderId="0" xfId="0" applyFont="1" applyBorder="1" applyAlignment="1">
      <alignment horizontal="left" vertical="top" wrapText="1"/>
    </xf>
    <xf numFmtId="0" fontId="0" fillId="0" borderId="0" xfId="0" applyFont="1" applyBorder="1" applyAlignment="1">
      <alignment horizontal="left" vertical="top" wrapText="1"/>
    </xf>
    <xf numFmtId="0" fontId="2" fillId="2" borderId="0" xfId="0" applyFont="1" applyFill="1" applyBorder="1" applyAlignment="1">
      <alignment horizontal="left" vertical="top" wrapText="1"/>
    </xf>
    <xf numFmtId="0" fontId="1" fillId="0" borderId="1" xfId="0" applyFont="1" applyBorder="1" applyAlignment="1">
      <alignment horizontal="center"/>
    </xf>
    <xf numFmtId="0" fontId="0" fillId="0" borderId="0" xfId="0" applyBorder="1"/>
    <xf numFmtId="0" fontId="3" fillId="0" borderId="0" xfId="0" applyFont="1"/>
    <xf numFmtId="0" fontId="0" fillId="0" borderId="0" xfId="0" applyAlignment="1">
      <alignment vertical="top"/>
    </xf>
    <xf numFmtId="0" fontId="4" fillId="0" borderId="0" xfId="0" applyFont="1" applyAlignment="1">
      <alignment vertical="top"/>
    </xf>
    <xf numFmtId="0" fontId="5" fillId="0" borderId="0" xfId="0" applyFont="1" applyAlignment="1">
      <alignment vertical="top"/>
    </xf>
    <xf numFmtId="0" fontId="0" fillId="0" borderId="0" xfId="0" applyAlignment="1">
      <alignment horizontal="left" vertical="top" wrapText="1"/>
    </xf>
    <xf numFmtId="0" fontId="0" fillId="0" borderId="0" xfId="0" applyProtection="1">
      <protection hidden="1"/>
    </xf>
    <xf numFmtId="0" fontId="0" fillId="0" borderId="0" xfId="0" applyAlignment="1" applyProtection="1">
      <alignment wrapText="1"/>
      <protection hidden="1"/>
    </xf>
    <xf numFmtId="0" fontId="6" fillId="0" borderId="0" xfId="0" applyFont="1" applyAlignment="1" applyProtection="1">
      <protection hidden="1"/>
    </xf>
    <xf numFmtId="0" fontId="7" fillId="0" borderId="0" xfId="4" applyFont="1" applyBorder="1" applyAlignment="1" applyProtection="1">
      <alignment vertical="top"/>
    </xf>
    <xf numFmtId="0" fontId="0" fillId="3" borderId="1" xfId="0" applyFont="1" applyFill="1" applyBorder="1" applyProtection="1">
      <protection hidden="1"/>
    </xf>
    <xf numFmtId="164" fontId="0" fillId="0" borderId="1" xfId="0" applyNumberFormat="1" applyBorder="1" applyProtection="1">
      <protection hidden="1"/>
    </xf>
    <xf numFmtId="0" fontId="8" fillId="0" borderId="0" xfId="4" applyBorder="1" applyAlignment="1" applyProtection="1">
      <protection hidden="1"/>
    </xf>
    <xf numFmtId="0" fontId="0" fillId="3" borderId="1" xfId="0" applyFont="1" applyFill="1" applyBorder="1" applyAlignment="1" applyProtection="1">
      <alignment wrapText="1"/>
      <protection hidden="1"/>
    </xf>
    <xf numFmtId="0" fontId="8" fillId="0" borderId="0" xfId="4" applyBorder="1" applyAlignment="1" applyProtection="1"/>
    <xf numFmtId="0" fontId="0" fillId="0" borderId="0" xfId="0" applyAlignment="1">
      <alignment vertical="center"/>
    </xf>
    <xf numFmtId="0" fontId="0" fillId="3" borderId="2" xfId="0" applyFont="1" applyFill="1" applyBorder="1" applyAlignment="1">
      <alignment vertical="center"/>
    </xf>
    <xf numFmtId="165" fontId="0" fillId="0" borderId="2" xfId="0" applyNumberFormat="1" applyBorder="1" applyAlignment="1">
      <alignment vertical="center"/>
    </xf>
    <xf numFmtId="0" fontId="0" fillId="0" borderId="0" xfId="0" applyAlignment="1" applyProtection="1">
      <alignment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wrapText="1"/>
      <protection locked="0"/>
    </xf>
    <xf numFmtId="0" fontId="0" fillId="0" borderId="7"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8" xfId="0"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3" borderId="9" xfId="0" applyFont="1" applyFill="1" applyBorder="1" applyAlignment="1" applyProtection="1">
      <alignment horizontal="center" vertical="center" wrapText="1"/>
    </xf>
    <xf numFmtId="167" fontId="0" fillId="7" borderId="1" xfId="2" applyNumberFormat="1"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6" borderId="1" xfId="0" applyFont="1" applyFill="1" applyBorder="1" applyAlignment="1" applyProtection="1">
      <alignment horizontal="center" vertical="center" wrapText="1"/>
      <protection locked="0"/>
    </xf>
    <xf numFmtId="0" fontId="12" fillId="0" borderId="0" xfId="0" applyFont="1" applyBorder="1" applyAlignment="1" applyProtection="1">
      <alignment horizontal="center" vertical="center" wrapText="1"/>
    </xf>
    <xf numFmtId="0" fontId="0" fillId="0" borderId="0" xfId="0" applyAlignment="1" applyProtection="1">
      <alignment horizontal="left" wrapText="1"/>
    </xf>
    <xf numFmtId="0" fontId="12" fillId="3" borderId="11" xfId="0" applyFont="1" applyFill="1" applyBorder="1" applyAlignment="1" applyProtection="1">
      <alignment horizontal="center" vertical="center" wrapText="1"/>
    </xf>
    <xf numFmtId="0" fontId="12" fillId="3" borderId="11" xfId="0" applyFont="1" applyFill="1" applyBorder="1" applyAlignment="1" applyProtection="1">
      <alignment vertical="center" wrapText="1"/>
    </xf>
    <xf numFmtId="0" fontId="12" fillId="3" borderId="12" xfId="0" applyFont="1" applyFill="1" applyBorder="1" applyAlignment="1" applyProtection="1">
      <alignment vertical="center" wrapText="1"/>
    </xf>
    <xf numFmtId="0" fontId="0" fillId="5" borderId="1" xfId="0"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protection locked="0"/>
    </xf>
    <xf numFmtId="167" fontId="0" fillId="5" borderId="1" xfId="2" applyNumberFormat="1" applyFont="1" applyFill="1" applyBorder="1" applyAlignment="1" applyProtection="1">
      <alignment horizontal="center" vertical="center" wrapText="1"/>
      <protection locked="0"/>
    </xf>
    <xf numFmtId="167" fontId="0" fillId="6" borderId="1" xfId="2" applyNumberFormat="1" applyFont="1" applyFill="1" applyBorder="1" applyAlignment="1" applyProtection="1">
      <alignment horizontal="center" vertical="center" wrapText="1"/>
      <protection locked="0"/>
    </xf>
    <xf numFmtId="0" fontId="12" fillId="8" borderId="1" xfId="0" applyFont="1" applyFill="1" applyBorder="1" applyAlignment="1" applyProtection="1">
      <alignment horizontal="center" vertical="center" wrapText="1"/>
    </xf>
    <xf numFmtId="0" fontId="0" fillId="0" borderId="1" xfId="0" applyBorder="1" applyAlignment="1" applyProtection="1">
      <alignment wrapText="1"/>
    </xf>
    <xf numFmtId="0" fontId="0" fillId="9" borderId="1" xfId="0" applyFill="1" applyBorder="1" applyAlignment="1" applyProtection="1">
      <alignment wrapText="1"/>
    </xf>
    <xf numFmtId="167" fontId="0" fillId="5" borderId="1" xfId="2" applyNumberFormat="1" applyFont="1" applyFill="1" applyBorder="1" applyAlignment="1" applyProtection="1">
      <alignment horizontal="center" vertical="center" wrapText="1"/>
    </xf>
    <xf numFmtId="49" fontId="0" fillId="0" borderId="0" xfId="0" applyNumberFormat="1" applyAlignment="1" applyProtection="1"/>
    <xf numFmtId="0" fontId="0" fillId="0" borderId="0" xfId="0" applyAlignment="1" applyProtection="1"/>
    <xf numFmtId="0" fontId="0" fillId="0" borderId="0" xfId="0" applyBorder="1" applyAlignment="1" applyProtection="1">
      <alignment wrapText="1"/>
    </xf>
    <xf numFmtId="0" fontId="0" fillId="0" borderId="0" xfId="0"/>
    <xf numFmtId="0" fontId="20" fillId="0" borderId="0" xfId="0" applyFont="1" applyBorder="1" applyAlignment="1" applyProtection="1">
      <protection hidden="1"/>
    </xf>
    <xf numFmtId="0" fontId="17" fillId="8" borderId="1" xfId="0" applyFont="1" applyFill="1" applyBorder="1" applyAlignment="1">
      <alignment horizontal="center" vertical="center" wrapText="1"/>
    </xf>
    <xf numFmtId="0" fontId="21" fillId="10" borderId="1" xfId="0" applyFont="1" applyFill="1" applyBorder="1" applyAlignment="1">
      <alignment vertical="center" wrapText="1"/>
    </xf>
    <xf numFmtId="0" fontId="23" fillId="0" borderId="0" xfId="0" applyFont="1" applyAlignment="1">
      <alignment vertical="center"/>
    </xf>
    <xf numFmtId="0" fontId="25" fillId="8" borderId="1" xfId="0" applyFont="1" applyFill="1" applyBorder="1" applyAlignment="1">
      <alignment horizontal="center" vertical="center" wrapText="1"/>
    </xf>
    <xf numFmtId="0" fontId="17" fillId="11"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167" fontId="11" fillId="2" borderId="1" xfId="2" applyNumberFormat="1" applyFont="1" applyFill="1" applyBorder="1" applyAlignment="1" applyProtection="1">
      <alignment horizontal="center" vertical="center"/>
    </xf>
    <xf numFmtId="167" fontId="11" fillId="2" borderId="1" xfId="0" applyNumberFormat="1" applyFont="1" applyFill="1" applyBorder="1" applyAlignment="1">
      <alignment horizontal="center" vertical="center"/>
    </xf>
    <xf numFmtId="167" fontId="19"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167" fontId="19" fillId="2" borderId="1" xfId="2" applyNumberFormat="1" applyFont="1" applyFill="1" applyBorder="1" applyAlignment="1" applyProtection="1">
      <alignment horizontal="center" vertical="center"/>
    </xf>
    <xf numFmtId="168" fontId="19" fillId="2" borderId="1" xfId="3" applyFont="1" applyFill="1" applyBorder="1" applyAlignment="1" applyProtection="1">
      <alignment horizontal="center" vertical="center"/>
    </xf>
    <xf numFmtId="168" fontId="11" fillId="2" borderId="1" xfId="3" applyFont="1" applyFill="1" applyBorder="1" applyAlignment="1" applyProtection="1">
      <alignment horizontal="center" vertical="center"/>
    </xf>
    <xf numFmtId="0" fontId="0" fillId="0" borderId="0" xfId="0" applyAlignment="1">
      <alignment horizontal="center" vertical="center"/>
    </xf>
    <xf numFmtId="1" fontId="0" fillId="0" borderId="1" xfId="0" applyNumberFormat="1" applyBorder="1" applyAlignment="1">
      <alignment horizontal="center" vertical="center"/>
    </xf>
    <xf numFmtId="0" fontId="17" fillId="0" borderId="0" xfId="0" applyFont="1" applyBorder="1" applyAlignment="1">
      <alignment horizontal="center" vertical="center" wrapText="1"/>
    </xf>
    <xf numFmtId="0" fontId="0" fillId="0" borderId="1" xfId="0" applyFont="1" applyBorder="1" applyAlignment="1" applyProtection="1">
      <alignment horizontal="center" vertical="center"/>
      <protection hidden="1"/>
    </xf>
    <xf numFmtId="0" fontId="26" fillId="0" borderId="1" xfId="0" applyFont="1" applyBorder="1" applyAlignment="1" applyProtection="1">
      <alignment vertical="top" wrapText="1"/>
      <protection hidden="1"/>
    </xf>
    <xf numFmtId="0" fontId="0" fillId="0" borderId="1" xfId="0" applyFont="1" applyBorder="1" applyProtection="1">
      <protection hidden="1"/>
    </xf>
    <xf numFmtId="0" fontId="0" fillId="0" borderId="0" xfId="0" applyFont="1" applyBorder="1" applyProtection="1">
      <protection hidden="1"/>
    </xf>
    <xf numFmtId="0" fontId="0" fillId="0" borderId="11" xfId="0" applyBorder="1" applyProtection="1">
      <protection hidden="1"/>
    </xf>
    <xf numFmtId="0" fontId="0" fillId="0" borderId="16" xfId="0" applyFont="1" applyBorder="1" applyProtection="1">
      <protection hidden="1"/>
    </xf>
    <xf numFmtId="0" fontId="15" fillId="0" borderId="0" xfId="0" applyFont="1" applyAlignment="1" applyProtection="1">
      <alignment wrapText="1"/>
      <protection hidden="1"/>
    </xf>
    <xf numFmtId="0" fontId="29" fillId="0" borderId="0" xfId="0" applyFont="1" applyAlignment="1" applyProtection="1">
      <protection hidden="1"/>
    </xf>
    <xf numFmtId="1" fontId="0" fillId="0" borderId="1" xfId="0" applyNumberFormat="1" applyBorder="1" applyProtection="1">
      <protection hidden="1"/>
    </xf>
    <xf numFmtId="1" fontId="0" fillId="0" borderId="1" xfId="0" applyNumberFormat="1" applyBorder="1" applyAlignment="1" applyProtection="1">
      <alignment horizontal="right" indent="3"/>
      <protection hidden="1"/>
    </xf>
    <xf numFmtId="1" fontId="0" fillId="0" borderId="0" xfId="0" applyNumberFormat="1" applyBorder="1" applyProtection="1">
      <protection hidden="1"/>
    </xf>
    <xf numFmtId="0" fontId="0" fillId="0" borderId="0" xfId="0" applyAlignment="1" applyProtection="1">
      <protection hidden="1"/>
    </xf>
    <xf numFmtId="1" fontId="0" fillId="0" borderId="1" xfId="0" applyNumberFormat="1" applyBorder="1" applyAlignment="1" applyProtection="1">
      <alignment horizontal="right"/>
      <protection hidden="1"/>
    </xf>
    <xf numFmtId="0" fontId="26" fillId="0" borderId="18" xfId="0" applyFont="1" applyBorder="1" applyAlignment="1" applyProtection="1">
      <protection hidden="1"/>
    </xf>
    <xf numFmtId="0" fontId="26" fillId="0" borderId="19" xfId="0" applyFont="1" applyBorder="1" applyAlignment="1" applyProtection="1">
      <protection hidden="1"/>
    </xf>
    <xf numFmtId="0" fontId="26" fillId="0" borderId="20" xfId="0" applyFont="1" applyBorder="1" applyAlignment="1" applyProtection="1">
      <alignment horizontal="center"/>
      <protection hidden="1"/>
    </xf>
    <xf numFmtId="0" fontId="26" fillId="0" borderId="21" xfId="0" applyFont="1" applyBorder="1" applyAlignment="1" applyProtection="1">
      <alignment horizontal="center"/>
      <protection hidden="1"/>
    </xf>
    <xf numFmtId="0" fontId="26" fillId="0" borderId="22" xfId="0" applyFont="1" applyBorder="1" applyProtection="1">
      <protection hidden="1"/>
    </xf>
    <xf numFmtId="0" fontId="26" fillId="0" borderId="23" xfId="0" applyFont="1" applyBorder="1" applyProtection="1">
      <protection hidden="1"/>
    </xf>
    <xf numFmtId="0" fontId="26" fillId="0" borderId="24" xfId="0" applyFont="1" applyBorder="1" applyProtection="1">
      <protection hidden="1"/>
    </xf>
    <xf numFmtId="0" fontId="26" fillId="0" borderId="25" xfId="0" applyFont="1" applyBorder="1" applyProtection="1">
      <protection hidden="1"/>
    </xf>
    <xf numFmtId="0" fontId="26" fillId="0" borderId="3" xfId="0" applyFont="1" applyBorder="1" applyProtection="1">
      <protection hidden="1"/>
    </xf>
    <xf numFmtId="0" fontId="0" fillId="0" borderId="25" xfId="0" applyBorder="1" applyProtection="1">
      <protection hidden="1"/>
    </xf>
    <xf numFmtId="166" fontId="0" fillId="0" borderId="26" xfId="2" applyFont="1" applyBorder="1" applyAlignment="1" applyProtection="1">
      <protection hidden="1"/>
    </xf>
    <xf numFmtId="0" fontId="0" fillId="0" borderId="27" xfId="2" applyNumberFormat="1" applyFont="1" applyBorder="1" applyAlignment="1" applyProtection="1">
      <protection hidden="1"/>
    </xf>
    <xf numFmtId="166" fontId="0" fillId="0" borderId="28" xfId="2" applyFont="1" applyBorder="1" applyAlignment="1" applyProtection="1">
      <protection hidden="1"/>
    </xf>
    <xf numFmtId="0" fontId="26" fillId="0" borderId="27" xfId="0" applyFont="1" applyBorder="1" applyProtection="1">
      <protection hidden="1"/>
    </xf>
    <xf numFmtId="0" fontId="26" fillId="0" borderId="7" xfId="0" applyFont="1" applyBorder="1" applyProtection="1">
      <protection hidden="1"/>
    </xf>
    <xf numFmtId="0" fontId="0" fillId="0" borderId="1" xfId="0" applyFont="1" applyBorder="1" applyAlignment="1" applyProtection="1">
      <alignment horizontal="center"/>
      <protection hidden="1"/>
    </xf>
    <xf numFmtId="0" fontId="26" fillId="0" borderId="1" xfId="0" applyFont="1" applyBorder="1" applyProtection="1">
      <protection hidden="1"/>
    </xf>
    <xf numFmtId="1" fontId="0" fillId="0" borderId="0" xfId="0" applyNumberFormat="1" applyProtection="1">
      <protection hidden="1"/>
    </xf>
    <xf numFmtId="0" fontId="26" fillId="0" borderId="29" xfId="0" applyFont="1" applyBorder="1" applyProtection="1">
      <protection hidden="1"/>
    </xf>
    <xf numFmtId="0" fontId="26" fillId="0" borderId="30" xfId="0" applyFont="1" applyBorder="1" applyProtection="1">
      <protection hidden="1"/>
    </xf>
    <xf numFmtId="166" fontId="26" fillId="0" borderId="31" xfId="2" applyFont="1" applyBorder="1" applyAlignment="1" applyProtection="1">
      <protection hidden="1"/>
    </xf>
    <xf numFmtId="166" fontId="0" fillId="0" borderId="32" xfId="2" applyFont="1" applyBorder="1" applyAlignment="1" applyProtection="1">
      <protection hidden="1"/>
    </xf>
    <xf numFmtId="0" fontId="0" fillId="0" borderId="29" xfId="2" applyNumberFormat="1" applyFont="1" applyBorder="1" applyAlignment="1" applyProtection="1">
      <protection hidden="1"/>
    </xf>
    <xf numFmtId="166" fontId="0" fillId="0" borderId="33" xfId="2" applyFont="1" applyBorder="1" applyAlignment="1" applyProtection="1">
      <protection hidden="1"/>
    </xf>
    <xf numFmtId="0" fontId="0" fillId="0" borderId="33" xfId="2" applyNumberFormat="1" applyFont="1" applyBorder="1" applyAlignment="1" applyProtection="1">
      <protection hidden="1"/>
    </xf>
    <xf numFmtId="2" fontId="0" fillId="0" borderId="1" xfId="0" applyNumberFormat="1" applyBorder="1" applyAlignment="1" applyProtection="1">
      <alignment horizontal="right"/>
      <protection hidden="1"/>
    </xf>
    <xf numFmtId="2" fontId="0" fillId="0" borderId="1" xfId="0" applyNumberFormat="1" applyBorder="1" applyProtection="1">
      <protection hidden="1"/>
    </xf>
    <xf numFmtId="0" fontId="26" fillId="0" borderId="0" xfId="0" applyFont="1" applyBorder="1" applyAlignment="1" applyProtection="1">
      <protection hidden="1"/>
    </xf>
    <xf numFmtId="0" fontId="0" fillId="0" borderId="1" xfId="0" applyFont="1" applyBorder="1" applyAlignment="1" applyProtection="1">
      <alignment horizontal="right"/>
      <protection hidden="1"/>
    </xf>
    <xf numFmtId="0" fontId="0" fillId="0" borderId="1" xfId="0" applyFont="1" applyBorder="1" applyProtection="1">
      <protection hidden="1"/>
    </xf>
    <xf numFmtId="0" fontId="26" fillId="0" borderId="1" xfId="0" applyFont="1" applyBorder="1" applyAlignment="1" applyProtection="1">
      <protection hidden="1"/>
    </xf>
    <xf numFmtId="0" fontId="26" fillId="0" borderId="1" xfId="0" applyFont="1" applyBorder="1" applyAlignment="1" applyProtection="1">
      <alignment horizontal="right"/>
      <protection hidden="1"/>
    </xf>
    <xf numFmtId="0" fontId="26" fillId="0" borderId="0" xfId="0" applyFont="1" applyBorder="1" applyProtection="1">
      <protection hidden="1"/>
    </xf>
    <xf numFmtId="0" fontId="0" fillId="0" borderId="1" xfId="0" applyBorder="1" applyProtection="1">
      <protection hidden="1"/>
    </xf>
    <xf numFmtId="0" fontId="0" fillId="0" borderId="1" xfId="2" applyNumberFormat="1" applyFont="1" applyBorder="1" applyAlignment="1" applyProtection="1">
      <protection hidden="1"/>
    </xf>
    <xf numFmtId="0" fontId="26" fillId="0" borderId="0" xfId="0" applyFont="1" applyAlignment="1" applyProtection="1">
      <alignment vertical="top" wrapText="1"/>
      <protection hidden="1"/>
    </xf>
    <xf numFmtId="0" fontId="0" fillId="0" borderId="13" xfId="0" applyBorder="1" applyProtection="1">
      <protection hidden="1"/>
    </xf>
    <xf numFmtId="164" fontId="0" fillId="0" borderId="0" xfId="0" applyNumberFormat="1" applyProtection="1">
      <protection hidden="1"/>
    </xf>
    <xf numFmtId="0" fontId="0" fillId="0" borderId="0" xfId="3" applyNumberFormat="1" applyFont="1" applyBorder="1" applyAlignment="1" applyProtection="1">
      <protection hidden="1"/>
    </xf>
    <xf numFmtId="0" fontId="0" fillId="0" borderId="9" xfId="0" applyFont="1" applyBorder="1" applyProtection="1">
      <protection hidden="1"/>
    </xf>
    <xf numFmtId="2" fontId="0" fillId="0" borderId="0" xfId="0" applyNumberFormat="1" applyProtection="1">
      <protection hidden="1"/>
    </xf>
    <xf numFmtId="171" fontId="0" fillId="0" borderId="1" xfId="0" applyNumberFormat="1" applyBorder="1" applyProtection="1">
      <protection hidden="1"/>
    </xf>
    <xf numFmtId="0" fontId="0" fillId="0" borderId="0" xfId="0" applyProtection="1"/>
    <xf numFmtId="0" fontId="33" fillId="4" borderId="0" xfId="0" applyFont="1" applyFill="1" applyBorder="1" applyAlignment="1" applyProtection="1">
      <alignment horizontal="center" vertical="center"/>
    </xf>
    <xf numFmtId="0" fontId="0" fillId="0" borderId="5" xfId="0" applyBorder="1" applyAlignment="1" applyProtection="1"/>
    <xf numFmtId="0" fontId="0" fillId="0" borderId="7" xfId="0" applyBorder="1" applyProtection="1"/>
    <xf numFmtId="167" fontId="0" fillId="14" borderId="1" xfId="2" applyNumberFormat="1" applyFont="1" applyFill="1" applyBorder="1" applyAlignment="1" applyProtection="1">
      <alignment horizontal="center" vertical="center" wrapText="1"/>
    </xf>
    <xf numFmtId="0" fontId="0" fillId="0" borderId="14" xfId="0" applyBorder="1" applyProtection="1"/>
    <xf numFmtId="0" fontId="0" fillId="0" borderId="9" xfId="0" applyBorder="1" applyAlignment="1" applyProtection="1"/>
    <xf numFmtId="0" fontId="0" fillId="0" borderId="7" xfId="0" applyBorder="1" applyAlignment="1" applyProtection="1"/>
    <xf numFmtId="0" fontId="0" fillId="0" borderId="10" xfId="0" applyBorder="1" applyAlignment="1" applyProtection="1">
      <alignment horizontal="center" vertical="center" wrapText="1"/>
    </xf>
    <xf numFmtId="0" fontId="0" fillId="6" borderId="12" xfId="0" applyFont="1" applyFill="1" applyBorder="1" applyAlignment="1" applyProtection="1">
      <alignment horizontal="center" vertical="center" wrapText="1"/>
      <protection locked="0"/>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0" xfId="0" applyBorder="1" applyProtection="1"/>
    <xf numFmtId="166" fontId="0" fillId="5" borderId="1" xfId="2" applyFont="1" applyFill="1" applyBorder="1" applyAlignment="1" applyProtection="1">
      <alignment horizontal="left" vertical="center"/>
      <protection locked="0"/>
    </xf>
    <xf numFmtId="0" fontId="0" fillId="6" borderId="1" xfId="0" applyFill="1" applyBorder="1" applyAlignment="1" applyProtection="1">
      <alignment horizontal="center" vertical="center" wrapText="1"/>
      <protection locked="0"/>
    </xf>
    <xf numFmtId="0" fontId="12" fillId="0" borderId="5" xfId="0" applyFont="1" applyBorder="1" applyAlignment="1" applyProtection="1">
      <alignment horizontal="center" vertical="center" wrapText="1"/>
    </xf>
    <xf numFmtId="49" fontId="0" fillId="0" borderId="0" xfId="0" applyNumberFormat="1" applyFont="1" applyProtection="1"/>
    <xf numFmtId="0" fontId="0" fillId="0" borderId="5" xfId="0" applyBorder="1" applyAlignment="1" applyProtection="1">
      <alignment horizontal="center" vertical="center" wrapText="1"/>
    </xf>
    <xf numFmtId="0" fontId="21" fillId="10" borderId="9" xfId="0" applyFont="1" applyFill="1" applyBorder="1" applyAlignment="1">
      <alignment horizontal="center" vertical="center" wrapText="1"/>
    </xf>
    <xf numFmtId="0" fontId="23" fillId="0" borderId="13" xfId="0" applyFont="1" applyBorder="1"/>
    <xf numFmtId="0" fontId="0" fillId="0" borderId="0" xfId="0" applyAlignment="1">
      <alignment vertical="center" wrapText="1"/>
    </xf>
    <xf numFmtId="0" fontId="0" fillId="0" borderId="13" xfId="0" applyBorder="1"/>
    <xf numFmtId="0" fontId="11" fillId="8" borderId="1" xfId="0" applyFont="1" applyFill="1" applyBorder="1" applyAlignment="1" applyProtection="1">
      <alignment horizontal="left" wrapText="1"/>
      <protection hidden="1"/>
    </xf>
    <xf numFmtId="0" fontId="11" fillId="8" borderId="1" xfId="0" applyFont="1" applyFill="1" applyBorder="1" applyAlignment="1" applyProtection="1">
      <alignment horizontal="right" wrapText="1"/>
      <protection hidden="1"/>
    </xf>
    <xf numFmtId="167" fontId="11" fillId="2" borderId="1" xfId="2" applyNumberFormat="1" applyFont="1" applyFill="1" applyBorder="1" applyAlignment="1" applyProtection="1">
      <alignment horizontal="center"/>
      <protection hidden="1"/>
    </xf>
    <xf numFmtId="167" fontId="11" fillId="2" borderId="1" xfId="0" applyNumberFormat="1" applyFont="1" applyFill="1" applyBorder="1" applyAlignment="1" applyProtection="1">
      <alignment horizontal="center"/>
      <protection hidden="1"/>
    </xf>
    <xf numFmtId="167" fontId="19" fillId="2" borderId="1" xfId="0" applyNumberFormat="1" applyFont="1" applyFill="1" applyBorder="1" applyAlignment="1" applyProtection="1">
      <alignment horizontal="center"/>
      <protection hidden="1"/>
    </xf>
    <xf numFmtId="0" fontId="11" fillId="2" borderId="1" xfId="0" applyFont="1" applyFill="1" applyBorder="1" applyAlignment="1" applyProtection="1">
      <alignment horizontal="center"/>
      <protection hidden="1"/>
    </xf>
    <xf numFmtId="167" fontId="19" fillId="2" borderId="1" xfId="2" applyNumberFormat="1" applyFont="1" applyFill="1" applyBorder="1" applyAlignment="1" applyProtection="1">
      <alignment horizontal="center"/>
      <protection hidden="1"/>
    </xf>
    <xf numFmtId="168" fontId="19" fillId="2" borderId="1" xfId="3" applyFont="1" applyFill="1" applyBorder="1" applyAlignment="1" applyProtection="1">
      <alignment horizontal="center"/>
      <protection hidden="1"/>
    </xf>
    <xf numFmtId="0" fontId="0" fillId="2" borderId="13" xfId="0" applyFill="1" applyBorder="1"/>
    <xf numFmtId="0" fontId="0" fillId="2" borderId="0" xfId="0" applyFill="1"/>
    <xf numFmtId="0" fontId="0" fillId="0" borderId="0" xfId="0" applyBorder="1" applyProtection="1">
      <protection hidden="1"/>
    </xf>
    <xf numFmtId="166" fontId="0" fillId="0" borderId="0" xfId="2" applyFont="1" applyBorder="1" applyAlignment="1" applyProtection="1">
      <protection hidden="1"/>
    </xf>
    <xf numFmtId="166" fontId="0" fillId="0" borderId="0" xfId="0" applyNumberFormat="1" applyBorder="1" applyProtection="1">
      <protection hidden="1"/>
    </xf>
    <xf numFmtId="0" fontId="0" fillId="0" borderId="0" xfId="0" applyBorder="1" applyProtection="1">
      <protection hidden="1"/>
    </xf>
    <xf numFmtId="166" fontId="0" fillId="13" borderId="9" xfId="0" applyNumberFormat="1" applyFont="1" applyFill="1" applyBorder="1" applyAlignment="1" applyProtection="1">
      <alignment horizontal="center" vertical="center"/>
      <protection hidden="1"/>
    </xf>
    <xf numFmtId="170" fontId="0" fillId="0" borderId="1" xfId="1" applyNumberFormat="1" applyFont="1" applyBorder="1" applyAlignment="1" applyProtection="1"/>
    <xf numFmtId="0" fontId="17" fillId="0" borderId="0" xfId="0" applyFont="1" applyBorder="1" applyAlignment="1">
      <alignment vertical="center" wrapText="1"/>
    </xf>
    <xf numFmtId="166" fontId="0" fillId="13" borderId="1" xfId="0" applyNumberFormat="1" applyFont="1" applyFill="1" applyBorder="1" applyAlignment="1" applyProtection="1">
      <alignment horizontal="center" vertical="center"/>
      <protection hidden="1"/>
    </xf>
    <xf numFmtId="170" fontId="0" fillId="0" borderId="0" xfId="1" applyNumberFormat="1" applyFont="1" applyBorder="1" applyAlignment="1" applyProtection="1"/>
    <xf numFmtId="1" fontId="0" fillId="0" borderId="0" xfId="0" applyNumberFormat="1" applyBorder="1" applyAlignment="1">
      <alignment horizontal="center" vertical="center"/>
    </xf>
    <xf numFmtId="0" fontId="0" fillId="0" borderId="9" xfId="0" applyFont="1" applyBorder="1" applyAlignment="1">
      <alignment vertical="center"/>
    </xf>
    <xf numFmtId="0" fontId="0" fillId="0" borderId="1" xfId="0" applyFont="1" applyBorder="1" applyAlignment="1">
      <alignment vertical="center" textRotation="255"/>
    </xf>
    <xf numFmtId="0" fontId="0" fillId="0" borderId="16" xfId="0" applyBorder="1" applyAlignment="1">
      <alignment horizontal="center"/>
    </xf>
    <xf numFmtId="0" fontId="0" fillId="0" borderId="1" xfId="0" applyFont="1" applyBorder="1"/>
    <xf numFmtId="0" fontId="0" fillId="0" borderId="1" xfId="0" applyBorder="1" applyAlignment="1" applyProtection="1">
      <alignment horizontal="center"/>
      <protection hidden="1"/>
    </xf>
    <xf numFmtId="0" fontId="26" fillId="0" borderId="9" xfId="0" applyFont="1" applyBorder="1" applyAlignment="1">
      <alignment horizontal="center" vertical="center"/>
    </xf>
    <xf numFmtId="0" fontId="0" fillId="0" borderId="14" xfId="0" applyBorder="1" applyAlignment="1">
      <alignment vertical="center"/>
    </xf>
    <xf numFmtId="0" fontId="0" fillId="0" borderId="1" xfId="0" applyBorder="1" applyAlignment="1">
      <alignment horizontal="center"/>
    </xf>
    <xf numFmtId="0" fontId="0" fillId="0" borderId="1" xfId="0" applyFont="1" applyBorder="1" applyAlignment="1">
      <alignment horizontal="center" vertical="center" wrapText="1"/>
    </xf>
    <xf numFmtId="1" fontId="0" fillId="0" borderId="1" xfId="0" applyNumberFormat="1" applyBorder="1" applyAlignment="1">
      <alignment horizontal="center"/>
    </xf>
    <xf numFmtId="0" fontId="26" fillId="0" borderId="1" xfId="0" applyFont="1" applyBorder="1"/>
    <xf numFmtId="0" fontId="26" fillId="0" borderId="36" xfId="0" applyFont="1" applyBorder="1" applyAlignment="1" applyProtection="1">
      <protection hidden="1"/>
    </xf>
    <xf numFmtId="0" fontId="26" fillId="15" borderId="37" xfId="0" applyFont="1" applyFill="1" applyBorder="1" applyAlignment="1" applyProtection="1">
      <alignment horizontal="center" vertical="center" wrapText="1"/>
      <protection hidden="1"/>
    </xf>
    <xf numFmtId="0" fontId="26" fillId="15" borderId="1" xfId="0" applyFont="1" applyFill="1" applyBorder="1" applyAlignment="1" applyProtection="1">
      <alignment horizontal="center" vertical="center" wrapText="1"/>
      <protection hidden="1"/>
    </xf>
    <xf numFmtId="0" fontId="26" fillId="15" borderId="38" xfId="0" applyFont="1" applyFill="1" applyBorder="1" applyAlignment="1" applyProtection="1">
      <alignment horizontal="center" vertical="center" wrapText="1"/>
      <protection hidden="1"/>
    </xf>
    <xf numFmtId="0" fontId="0" fillId="0" borderId="0" xfId="0" applyAlignment="1">
      <alignment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7" xfId="0" applyFont="1" applyBorder="1" applyAlignment="1" applyProtection="1">
      <alignment horizontal="center" vertical="center" wrapText="1"/>
      <protection hidden="1"/>
    </xf>
    <xf numFmtId="0" fontId="0" fillId="0" borderId="1" xfId="0" applyFont="1" applyBorder="1" applyAlignment="1" applyProtection="1">
      <alignment horizontal="center" vertical="center" wrapText="1"/>
      <protection hidden="1"/>
    </xf>
    <xf numFmtId="0" fontId="0" fillId="0" borderId="9" xfId="0" applyFont="1" applyBorder="1" applyAlignment="1" applyProtection="1">
      <alignment horizontal="center" vertical="center" wrapText="1"/>
      <protection hidden="1"/>
    </xf>
    <xf numFmtId="0" fontId="0" fillId="0" borderId="37" xfId="0" applyFont="1" applyBorder="1" applyAlignment="1">
      <alignment horizontal="center" vertical="center" wrapText="1"/>
    </xf>
    <xf numFmtId="0" fontId="0" fillId="0" borderId="1" xfId="0" applyFont="1" applyBorder="1" applyAlignment="1" applyProtection="1">
      <alignment horizontal="center" vertical="center" wrapText="1"/>
      <protection hidden="1"/>
    </xf>
    <xf numFmtId="0" fontId="26" fillId="0" borderId="1" xfId="0" applyFont="1" applyBorder="1" applyAlignment="1" applyProtection="1">
      <alignment horizontal="center" vertical="center" wrapText="1"/>
      <protection hidden="1"/>
    </xf>
    <xf numFmtId="0" fontId="0" fillId="0" borderId="38" xfId="0" applyFont="1" applyBorder="1" applyAlignment="1" applyProtection="1">
      <alignment horizontal="center" vertical="center" wrapText="1"/>
      <protection hidden="1"/>
    </xf>
    <xf numFmtId="0" fontId="0" fillId="17" borderId="42" xfId="0" applyFont="1" applyFill="1" applyBorder="1" applyAlignment="1">
      <alignment horizontal="center" vertical="center" wrapText="1"/>
    </xf>
    <xf numFmtId="0" fontId="0" fillId="17" borderId="43" xfId="0" applyFill="1" applyBorder="1" applyAlignment="1">
      <alignment horizontal="center" vertical="center" wrapText="1"/>
    </xf>
    <xf numFmtId="0" fontId="0" fillId="17" borderId="44" xfId="0" applyFill="1" applyBorder="1" applyAlignment="1">
      <alignment horizontal="center" vertical="center" wrapText="1"/>
    </xf>
    <xf numFmtId="0" fontId="26" fillId="17" borderId="45" xfId="0" applyFont="1" applyFill="1" applyBorder="1" applyAlignment="1" applyProtection="1">
      <alignment horizontal="right"/>
      <protection hidden="1"/>
    </xf>
    <xf numFmtId="0" fontId="26" fillId="18" borderId="39" xfId="0" applyFont="1" applyFill="1" applyBorder="1" applyAlignment="1" applyProtection="1">
      <alignment horizontal="center" vertical="center" wrapText="1"/>
      <protection hidden="1"/>
    </xf>
    <xf numFmtId="0" fontId="0" fillId="18" borderId="41" xfId="0" applyFont="1" applyFill="1" applyBorder="1" applyAlignment="1" applyProtection="1">
      <alignment horizontal="center" vertical="center" wrapText="1"/>
      <protection hidden="1"/>
    </xf>
    <xf numFmtId="0" fontId="0" fillId="19" borderId="39" xfId="0" applyFont="1" applyFill="1" applyBorder="1" applyAlignment="1">
      <alignment wrapText="1"/>
    </xf>
    <xf numFmtId="0" fontId="0" fillId="19" borderId="40" xfId="0" applyFont="1" applyFill="1" applyBorder="1" applyAlignment="1">
      <alignment wrapText="1"/>
    </xf>
    <xf numFmtId="0" fontId="0" fillId="19" borderId="41" xfId="0" applyFont="1" applyFill="1" applyBorder="1" applyAlignment="1">
      <alignment wrapText="1"/>
    </xf>
    <xf numFmtId="0" fontId="26" fillId="0" borderId="10" xfId="0" applyFont="1" applyBorder="1" applyProtection="1">
      <protection hidden="1"/>
    </xf>
    <xf numFmtId="0" fontId="26" fillId="0" borderId="6" xfId="0" applyFont="1" applyBorder="1" applyProtection="1">
      <protection hidden="1"/>
    </xf>
    <xf numFmtId="0" fontId="0" fillId="0" borderId="41" xfId="0" applyFont="1" applyBorder="1" applyAlignment="1">
      <alignment wrapText="1"/>
    </xf>
    <xf numFmtId="0" fontId="0" fillId="10" borderId="37" xfId="0" applyFont="1" applyFill="1" applyBorder="1" applyAlignment="1">
      <alignment horizontal="center" vertical="center" wrapText="1"/>
    </xf>
    <xf numFmtId="0" fontId="0" fillId="10" borderId="1" xfId="0" applyFont="1" applyFill="1" applyBorder="1" applyAlignment="1">
      <alignment horizontal="center" vertical="center" wrapText="1"/>
    </xf>
    <xf numFmtId="0" fontId="0" fillId="10" borderId="38" xfId="0" applyFont="1" applyFill="1" applyBorder="1" applyAlignment="1">
      <alignment horizontal="center" vertical="center" wrapText="1"/>
    </xf>
    <xf numFmtId="0" fontId="0" fillId="0" borderId="39" xfId="0" applyFont="1" applyBorder="1"/>
    <xf numFmtId="1" fontId="0" fillId="0" borderId="1" xfId="0" applyNumberFormat="1" applyBorder="1"/>
    <xf numFmtId="166" fontId="0" fillId="0" borderId="9" xfId="0" applyNumberFormat="1" applyBorder="1"/>
    <xf numFmtId="0" fontId="0" fillId="0" borderId="37"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37" xfId="0" applyBorder="1"/>
    <xf numFmtId="0" fontId="0" fillId="0" borderId="38" xfId="0" applyBorder="1"/>
    <xf numFmtId="0" fontId="0" fillId="17" borderId="46" xfId="0" applyFill="1" applyBorder="1" applyAlignment="1">
      <alignment horizontal="center" vertical="center" wrapText="1"/>
    </xf>
    <xf numFmtId="0" fontId="0" fillId="17" borderId="7" xfId="0" applyFill="1" applyBorder="1" applyAlignment="1">
      <alignment horizontal="center" vertical="center" wrapText="1"/>
    </xf>
    <xf numFmtId="0" fontId="0" fillId="17" borderId="14" xfId="0" applyFill="1" applyBorder="1" applyAlignment="1">
      <alignment horizontal="center" vertical="center" wrapText="1"/>
    </xf>
    <xf numFmtId="166" fontId="0" fillId="0" borderId="38" xfId="2" applyFont="1" applyBorder="1" applyAlignment="1" applyProtection="1"/>
    <xf numFmtId="166" fontId="0" fillId="0" borderId="38" xfId="2" applyFont="1" applyBorder="1" applyAlignment="1" applyProtection="1">
      <alignment horizontal="right"/>
    </xf>
    <xf numFmtId="166" fontId="0" fillId="0" borderId="1" xfId="2" applyFont="1" applyBorder="1" applyAlignment="1" applyProtection="1"/>
    <xf numFmtId="0" fontId="0" fillId="0" borderId="9" xfId="0" applyBorder="1"/>
    <xf numFmtId="1" fontId="0" fillId="0" borderId="0" xfId="0" applyNumberFormat="1"/>
    <xf numFmtId="0" fontId="0" fillId="0" borderId="47" xfId="0" applyFont="1" applyBorder="1"/>
    <xf numFmtId="0" fontId="0" fillId="0" borderId="48" xfId="0" applyBorder="1"/>
    <xf numFmtId="0" fontId="0" fillId="0" borderId="9" xfId="0" applyFont="1" applyBorder="1" applyAlignment="1" applyProtection="1">
      <protection hidden="1"/>
    </xf>
    <xf numFmtId="0" fontId="0" fillId="0" borderId="0" xfId="0" applyBorder="1" applyAlignment="1" applyProtection="1">
      <protection hidden="1"/>
    </xf>
    <xf numFmtId="0" fontId="0" fillId="0" borderId="0" xfId="0" applyBorder="1" applyAlignment="1" applyProtection="1">
      <alignment horizontal="center"/>
      <protection hidden="1"/>
    </xf>
    <xf numFmtId="0" fontId="0" fillId="0" borderId="9" xfId="0" applyFont="1" applyBorder="1" applyAlignment="1" applyProtection="1">
      <protection hidden="1"/>
    </xf>
    <xf numFmtId="0" fontId="0" fillId="0" borderId="7" xfId="0" applyBorder="1" applyAlignment="1" applyProtection="1">
      <protection hidden="1"/>
    </xf>
    <xf numFmtId="0" fontId="0" fillId="0" borderId="14" xfId="0" applyBorder="1" applyAlignment="1" applyProtection="1">
      <protection hidden="1"/>
    </xf>
    <xf numFmtId="0" fontId="0" fillId="0" borderId="9" xfId="0" applyFont="1" applyBorder="1" applyAlignment="1" applyProtection="1">
      <alignment horizontal="left"/>
      <protection hidden="1"/>
    </xf>
    <xf numFmtId="0" fontId="0" fillId="0" borderId="0" xfId="0" applyBorder="1" applyAlignment="1" applyProtection="1">
      <alignment horizontal="left"/>
      <protection hidden="1"/>
    </xf>
    <xf numFmtId="2" fontId="0" fillId="0" borderId="0" xfId="0" applyNumberFormat="1" applyBorder="1" applyProtection="1">
      <protection hidden="1"/>
    </xf>
    <xf numFmtId="0" fontId="8" fillId="0" borderId="0" xfId="4" applyFont="1" applyBorder="1" applyAlignment="1" applyProtection="1">
      <alignment vertical="center"/>
    </xf>
    <xf numFmtId="0" fontId="0" fillId="0" borderId="2" xfId="0" applyFont="1" applyBorder="1" applyAlignment="1">
      <alignment vertical="center"/>
    </xf>
    <xf numFmtId="0" fontId="0" fillId="0" borderId="2" xfId="0" applyFont="1" applyBorder="1" applyAlignment="1">
      <alignment vertical="center" wrapText="1"/>
    </xf>
    <xf numFmtId="165" fontId="0" fillId="0" borderId="49" xfId="0" applyNumberFormat="1" applyBorder="1" applyAlignment="1">
      <alignment vertical="center"/>
    </xf>
    <xf numFmtId="0" fontId="0" fillId="0" borderId="50" xfId="0" applyBorder="1" applyAlignment="1">
      <alignment vertical="center"/>
    </xf>
    <xf numFmtId="165" fontId="0" fillId="0" borderId="50" xfId="0" applyNumberFormat="1" applyBorder="1" applyAlignment="1">
      <alignment vertical="center"/>
    </xf>
    <xf numFmtId="165" fontId="0" fillId="0" borderId="1" xfId="0" applyNumberFormat="1" applyBorder="1" applyAlignment="1">
      <alignment vertical="center"/>
    </xf>
    <xf numFmtId="164" fontId="0" fillId="19" borderId="0" xfId="0" applyNumberFormat="1" applyFill="1" applyProtection="1">
      <protection hidden="1"/>
    </xf>
    <xf numFmtId="0" fontId="0" fillId="20" borderId="1" xfId="0" applyFill="1" applyBorder="1" applyAlignment="1">
      <alignment vertical="center"/>
    </xf>
    <xf numFmtId="0" fontId="0" fillId="20" borderId="1" xfId="0" applyFont="1" applyFill="1" applyBorder="1" applyAlignment="1">
      <alignment horizontal="center" vertical="center"/>
    </xf>
    <xf numFmtId="0" fontId="0" fillId="20" borderId="1" xfId="0" applyFont="1" applyFill="1" applyBorder="1" applyAlignment="1">
      <alignment vertical="center" wrapText="1"/>
    </xf>
    <xf numFmtId="0" fontId="0" fillId="21" borderId="1" xfId="0" applyFill="1" applyBorder="1" applyAlignment="1" applyProtection="1">
      <alignment vertical="center"/>
      <protection locked="0"/>
    </xf>
    <xf numFmtId="0" fontId="0" fillId="0" borderId="1" xfId="0" applyBorder="1" applyAlignment="1">
      <alignment vertical="center"/>
    </xf>
    <xf numFmtId="0" fontId="26" fillId="20" borderId="1" xfId="0" applyFont="1" applyFill="1" applyBorder="1" applyAlignment="1">
      <alignment horizontal="center" vertical="center" wrapText="1"/>
    </xf>
    <xf numFmtId="0" fontId="26" fillId="20" borderId="1" xfId="0" applyFont="1" applyFill="1" applyBorder="1" applyAlignment="1">
      <alignment horizontal="center" vertical="center"/>
    </xf>
    <xf numFmtId="0" fontId="0" fillId="0" borderId="0" xfId="0" applyFont="1" applyAlignment="1" applyProtection="1">
      <alignment vertical="center"/>
      <protection locked="0"/>
    </xf>
    <xf numFmtId="0" fontId="37" fillId="0" borderId="0" xfId="0" applyFont="1"/>
    <xf numFmtId="0" fontId="0" fillId="0" borderId="0" xfId="0" applyFont="1" applyProtection="1">
      <protection locked="0"/>
    </xf>
    <xf numFmtId="167" fontId="0" fillId="7" borderId="1" xfId="2" applyNumberFormat="1" applyFont="1" applyFill="1" applyBorder="1" applyAlignment="1" applyProtection="1">
      <alignment horizontal="center" vertical="center" wrapText="1"/>
    </xf>
    <xf numFmtId="0" fontId="12" fillId="3" borderId="4" xfId="0" applyFont="1" applyFill="1" applyBorder="1" applyAlignment="1" applyProtection="1">
      <alignment horizontal="center" vertical="center" wrapText="1"/>
    </xf>
    <xf numFmtId="0" fontId="0" fillId="6" borderId="1" xfId="0" applyFont="1" applyFill="1" applyBorder="1" applyAlignment="1" applyProtection="1">
      <alignment horizontal="center" vertical="center" wrapText="1"/>
      <protection locked="0"/>
    </xf>
    <xf numFmtId="0" fontId="12" fillId="3" borderId="11" xfId="0" applyFont="1" applyFill="1" applyBorder="1" applyAlignment="1" applyProtection="1">
      <alignment horizontal="center" vertical="center" wrapText="1"/>
    </xf>
    <xf numFmtId="0" fontId="0" fillId="0" borderId="0" xfId="0" applyFont="1" applyBorder="1" applyAlignment="1" applyProtection="1">
      <alignment horizontal="left" wrapText="1"/>
    </xf>
    <xf numFmtId="0" fontId="12" fillId="0" borderId="1" xfId="0" applyFont="1" applyBorder="1" applyAlignment="1" applyProtection="1">
      <alignment horizontal="left" vertical="top" wrapText="1"/>
    </xf>
    <xf numFmtId="0" fontId="9" fillId="4" borderId="13" xfId="0" applyFont="1" applyFill="1" applyBorder="1" applyAlignment="1" applyProtection="1">
      <alignment horizontal="left" indent="15"/>
      <protection hidden="1"/>
    </xf>
    <xf numFmtId="0" fontId="10" fillId="4" borderId="1" xfId="0" applyFont="1" applyFill="1" applyBorder="1" applyAlignment="1">
      <alignment horizontal="left" wrapText="1"/>
    </xf>
    <xf numFmtId="0" fontId="19" fillId="0" borderId="11" xfId="0" applyFont="1" applyBorder="1" applyAlignment="1">
      <alignment horizontal="center" vertical="center"/>
    </xf>
    <xf numFmtId="0" fontId="17" fillId="8" borderId="1" xfId="0" applyFont="1" applyFill="1" applyBorder="1" applyAlignment="1">
      <alignment horizontal="center" vertical="center" wrapText="1"/>
    </xf>
    <xf numFmtId="0" fontId="21" fillId="10" borderId="9" xfId="0" applyFont="1" applyFill="1" applyBorder="1" applyAlignment="1">
      <alignment horizontal="center" vertical="center"/>
    </xf>
    <xf numFmtId="0" fontId="21" fillId="10" borderId="1" xfId="0" applyFont="1" applyFill="1" applyBorder="1" applyAlignment="1">
      <alignment horizontal="center" vertical="center"/>
    </xf>
    <xf numFmtId="0" fontId="21" fillId="10" borderId="14" xfId="0" applyFont="1" applyFill="1" applyBorder="1" applyAlignment="1">
      <alignment horizontal="center" vertical="center" wrapText="1"/>
    </xf>
    <xf numFmtId="0" fontId="24" fillId="9" borderId="1" xfId="0" applyFont="1" applyFill="1" applyBorder="1" applyAlignment="1">
      <alignment horizontal="center" vertical="center"/>
    </xf>
    <xf numFmtId="0" fontId="21" fillId="12" borderId="1" xfId="0" applyFont="1" applyFill="1" applyBorder="1" applyAlignment="1">
      <alignment horizontal="center" vertical="center"/>
    </xf>
    <xf numFmtId="0" fontId="21" fillId="12" borderId="1" xfId="0" applyFont="1" applyFill="1" applyBorder="1" applyAlignment="1">
      <alignment horizontal="center" vertical="center" wrapText="1"/>
    </xf>
    <xf numFmtId="0" fontId="17" fillId="13" borderId="11" xfId="0" applyFont="1" applyFill="1" applyBorder="1" applyAlignment="1">
      <alignment horizontal="center" vertical="center" wrapText="1"/>
    </xf>
    <xf numFmtId="0" fontId="17" fillId="0" borderId="1" xfId="0" applyFont="1" applyBorder="1" applyAlignment="1">
      <alignment horizontal="center" vertical="center" wrapText="1"/>
    </xf>
    <xf numFmtId="1" fontId="0" fillId="13" borderId="1" xfId="0" applyNumberFormat="1" applyFont="1" applyFill="1" applyBorder="1" applyAlignment="1">
      <alignment horizontal="center" vertical="center"/>
    </xf>
    <xf numFmtId="170" fontId="0" fillId="0" borderId="1" xfId="1" applyNumberFormat="1" applyFont="1" applyBorder="1" applyAlignment="1" applyProtection="1">
      <alignment horizontal="center" vertical="center"/>
    </xf>
    <xf numFmtId="1" fontId="0" fillId="0" borderId="1" xfId="0" applyNumberFormat="1" applyBorder="1" applyAlignment="1">
      <alignment horizontal="center" vertical="center"/>
    </xf>
    <xf numFmtId="0" fontId="0" fillId="0" borderId="1" xfId="0" applyFont="1" applyBorder="1" applyAlignment="1" applyProtection="1">
      <alignment horizontal="center" vertical="center"/>
      <protection hidden="1"/>
    </xf>
    <xf numFmtId="0" fontId="0" fillId="0" borderId="0" xfId="0" applyFont="1" applyBorder="1" applyAlignment="1" applyProtection="1">
      <alignment horizontal="center"/>
      <protection hidden="1"/>
    </xf>
    <xf numFmtId="0" fontId="0" fillId="0" borderId="15" xfId="0" applyFont="1" applyBorder="1" applyAlignment="1" applyProtection="1">
      <alignment horizontal="center"/>
      <protection hidden="1"/>
    </xf>
    <xf numFmtId="0" fontId="0" fillId="0" borderId="1" xfId="0" applyFont="1" applyBorder="1" applyAlignment="1" applyProtection="1">
      <alignment horizontal="center"/>
      <protection hidden="1"/>
    </xf>
    <xf numFmtId="0" fontId="0" fillId="0" borderId="17" xfId="0" applyFont="1" applyBorder="1" applyAlignment="1" applyProtection="1">
      <alignment horizontal="center"/>
      <protection hidden="1"/>
    </xf>
    <xf numFmtId="0" fontId="26" fillId="0" borderId="1" xfId="0" applyFont="1" applyBorder="1" applyAlignment="1" applyProtection="1">
      <alignment horizontal="center"/>
      <protection hidden="1"/>
    </xf>
    <xf numFmtId="0" fontId="32" fillId="0" borderId="1" xfId="0" applyFont="1" applyBorder="1" applyAlignment="1" applyProtection="1">
      <alignment vertical="center"/>
      <protection hidden="1"/>
    </xf>
    <xf numFmtId="0" fontId="26" fillId="0" borderId="1" xfId="0" applyFont="1" applyBorder="1" applyAlignment="1" applyProtection="1">
      <alignment horizontal="center" vertical="center"/>
      <protection hidden="1"/>
    </xf>
    <xf numFmtId="0" fontId="9" fillId="4" borderId="3" xfId="0" applyFont="1" applyFill="1" applyBorder="1" applyAlignment="1" applyProtection="1">
      <alignment horizontal="left" vertical="center" wrapText="1"/>
    </xf>
    <xf numFmtId="0" fontId="10" fillId="4" borderId="16" xfId="0" applyFont="1" applyFill="1" applyBorder="1" applyAlignment="1" applyProtection="1">
      <alignment horizontal="center" vertical="center" wrapText="1"/>
    </xf>
    <xf numFmtId="0" fontId="19" fillId="5" borderId="16" xfId="0" applyFont="1" applyFill="1" applyBorder="1" applyAlignment="1" applyProtection="1">
      <alignment horizontal="center" vertical="center"/>
      <protection locked="0"/>
    </xf>
    <xf numFmtId="167" fontId="0" fillId="14" borderId="1" xfId="2" applyNumberFormat="1" applyFont="1" applyFill="1" applyBorder="1" applyAlignment="1" applyProtection="1">
      <alignment horizontal="center" vertical="center" wrapText="1"/>
    </xf>
    <xf numFmtId="0" fontId="12" fillId="3" borderId="12" xfId="0" applyFont="1" applyFill="1" applyBorder="1" applyAlignment="1" applyProtection="1">
      <alignment horizontal="center" vertical="center" wrapText="1"/>
    </xf>
    <xf numFmtId="0" fontId="0" fillId="6" borderId="12" xfId="0" applyFont="1" applyFill="1" applyBorder="1" applyAlignment="1" applyProtection="1">
      <alignment horizontal="center" vertical="center" wrapText="1"/>
      <protection locked="0"/>
    </xf>
    <xf numFmtId="0" fontId="6" fillId="0" borderId="1" xfId="0" applyFont="1" applyBorder="1" applyAlignment="1" applyProtection="1">
      <alignment horizontal="left" vertical="top" wrapText="1"/>
    </xf>
    <xf numFmtId="0" fontId="10" fillId="4" borderId="1" xfId="0" applyFont="1" applyFill="1" applyBorder="1" applyAlignment="1">
      <alignment horizontal="left" vertical="center" wrapText="1"/>
    </xf>
    <xf numFmtId="0" fontId="17" fillId="8" borderId="1" xfId="0" applyFont="1" applyFill="1" applyBorder="1" applyAlignment="1" applyProtection="1">
      <alignment horizontal="left" vertical="center" wrapText="1"/>
      <protection hidden="1"/>
    </xf>
    <xf numFmtId="0" fontId="21" fillId="10" borderId="1" xfId="0" applyFont="1" applyFill="1" applyBorder="1" applyAlignment="1">
      <alignment horizontal="center" vertical="center" wrapText="1"/>
    </xf>
    <xf numFmtId="0" fontId="21" fillId="12" borderId="16" xfId="0" applyFont="1" applyFill="1" applyBorder="1" applyAlignment="1">
      <alignment horizontal="center" vertical="center" wrapText="1"/>
    </xf>
    <xf numFmtId="0" fontId="17" fillId="1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xf>
    <xf numFmtId="0" fontId="0" fillId="15" borderId="34" xfId="0" applyFont="1" applyFill="1" applyBorder="1" applyAlignment="1">
      <alignment horizontal="center"/>
    </xf>
    <xf numFmtId="0" fontId="0" fillId="9" borderId="35" xfId="0" applyFont="1" applyFill="1" applyBorder="1" applyAlignment="1" applyProtection="1">
      <alignment horizontal="center"/>
      <protection hidden="1"/>
    </xf>
    <xf numFmtId="0" fontId="0" fillId="16" borderId="35" xfId="0" applyFont="1" applyFill="1" applyBorder="1" applyAlignment="1" applyProtection="1">
      <alignment horizontal="center"/>
      <protection hidden="1"/>
    </xf>
    <xf numFmtId="0" fontId="0" fillId="10" borderId="35" xfId="0" applyFont="1" applyFill="1" applyBorder="1" applyAlignment="1">
      <alignment horizontal="center" vertical="center"/>
    </xf>
    <xf numFmtId="0" fontId="0" fillId="0" borderId="0" xfId="0" applyBorder="1" applyAlignment="1" applyProtection="1">
      <alignment horizontal="center"/>
      <protection hidden="1"/>
    </xf>
    <xf numFmtId="0" fontId="26" fillId="0" borderId="1" xfId="0" applyFont="1" applyBorder="1" applyAlignment="1" applyProtection="1">
      <alignment horizontal="center" vertical="center" wrapText="1"/>
      <protection hidden="1"/>
    </xf>
    <xf numFmtId="0" fontId="0" fillId="0" borderId="2" xfId="0" applyFont="1" applyBorder="1" applyAlignment="1">
      <alignment horizontal="center" vertical="center"/>
    </xf>
    <xf numFmtId="0" fontId="0" fillId="20" borderId="1" xfId="0" applyFont="1" applyFill="1" applyBorder="1" applyAlignment="1" applyProtection="1">
      <alignment horizontal="center" vertical="center"/>
      <protection locked="0"/>
    </xf>
    <xf numFmtId="0" fontId="0" fillId="20" borderId="1" xfId="0" applyFont="1" applyFill="1" applyBorder="1" applyAlignment="1">
      <alignment horizontal="center" vertical="center"/>
    </xf>
    <xf numFmtId="0" fontId="36" fillId="20" borderId="1" xfId="0" applyFont="1" applyFill="1" applyBorder="1" applyAlignment="1">
      <alignment horizontal="center" vertical="center"/>
    </xf>
  </cellXfs>
  <cellStyles count="5">
    <cellStyle name="Lien hypertexte" xfId="4" builtinId="8"/>
    <cellStyle name="Milliers" xfId="1" builtinId="3"/>
    <cellStyle name="Monétaire" xfId="2" builtinId="4"/>
    <cellStyle name="Normal" xfId="0" builtinId="0"/>
    <cellStyle name="Pourcentage" xfId="3" builtinId="5"/>
  </cellStyles>
  <dxfs count="8">
    <dxf>
      <font>
        <color rgb="FFFFFFFF"/>
      </font>
    </dxf>
    <dxf>
      <font>
        <color rgb="FFC9C9C9"/>
      </font>
    </dxf>
    <dxf>
      <font>
        <color rgb="FF000000"/>
        <name val="Calibri"/>
      </font>
      <alignment horizontal="general" vertical="bottom" textRotation="0" wrapText="0" indent="0" shrinkToFit="0"/>
    </dxf>
    <dxf>
      <font>
        <color rgb="FFFFFFFF"/>
      </font>
    </dxf>
    <dxf>
      <font>
        <color rgb="FFFFFFFF"/>
      </font>
    </dxf>
    <dxf>
      <font>
        <color rgb="FFFFFFFF"/>
      </font>
    </dxf>
    <dxf>
      <font>
        <color rgb="FFFFFFFF"/>
      </font>
    </dxf>
    <dxf>
      <font>
        <color rgb="FFFFFFFF"/>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6000"/>
      <rgbColor rgb="FF800080"/>
      <rgbColor rgb="FF008080"/>
      <rgbColor rgb="FFC9C9C9"/>
      <rgbColor rgb="FF808080"/>
      <rgbColor rgb="FF5B9BD5"/>
      <rgbColor rgb="FF993366"/>
      <rgbColor rgb="FFFFF2CC"/>
      <rgbColor rgb="FFDEEBF7"/>
      <rgbColor rgb="FF660066"/>
      <rgbColor rgb="FFFF8080"/>
      <rgbColor rgb="FF0563C1"/>
      <rgbColor rgb="FFB4C7E7"/>
      <rgbColor rgb="FF000080"/>
      <rgbColor rgb="FFFF00FF"/>
      <rgbColor rgb="FFFFD966"/>
      <rgbColor rgb="FF00FFFF"/>
      <rgbColor rgb="FF800080"/>
      <rgbColor rgb="FF800000"/>
      <rgbColor rgb="FF008080"/>
      <rgbColor rgb="FF0000FF"/>
      <rgbColor rgb="FF00CCFF"/>
      <rgbColor rgb="FFDAE3F3"/>
      <rgbColor rgb="FFE2F0D9"/>
      <rgbColor rgb="FFFBE5D6"/>
      <rgbColor rgb="FFEDEDED"/>
      <rgbColor rgb="FFF4B183"/>
      <rgbColor rgb="FFF2F2F2"/>
      <rgbColor rgb="FFF8CBAD"/>
      <rgbColor rgb="FF4472C4"/>
      <rgbColor rgb="FF33CCCC"/>
      <rgbColor rgb="FF99CC00"/>
      <rgbColor rgb="FFFFC000"/>
      <rgbColor rgb="FFFF9900"/>
      <rgbColor rgb="FFED7D31"/>
      <rgbColor rgb="FF44546A"/>
      <rgbColor rgb="FF969696"/>
      <rgbColor rgb="FF002060"/>
      <rgbColor rgb="FF6AA443"/>
      <rgbColor rgb="FF003300"/>
      <rgbColor rgb="FF333300"/>
      <rgbColor rgb="FF993300"/>
      <rgbColor rgb="FF993366"/>
      <rgbColor rgb="FF333399"/>
      <rgbColor rgb="FF40404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162000</xdr:colOff>
      <xdr:row>3</xdr:row>
      <xdr:rowOff>109080</xdr:rowOff>
    </xdr:from>
    <xdr:to>
      <xdr:col>17</xdr:col>
      <xdr:colOff>447480</xdr:colOff>
      <xdr:row>16</xdr:row>
      <xdr:rowOff>158400</xdr:rowOff>
    </xdr:to>
    <xdr:sp macro="" textlink="">
      <xdr:nvSpPr>
        <xdr:cNvPr id="2" name="CustomShape 1"/>
        <xdr:cNvSpPr/>
      </xdr:nvSpPr>
      <xdr:spPr>
        <a:xfrm>
          <a:off x="162000" y="680400"/>
          <a:ext cx="12891960" cy="2525760"/>
        </a:xfrm>
        <a:prstGeom prst="rect">
          <a:avLst/>
        </a:prstGeom>
        <a:solidFill>
          <a:schemeClr val="accent3">
            <a:lumMod val="40000"/>
            <a:lumOff val="60000"/>
          </a:schemeClr>
        </a:solidFill>
        <a:ln w="9360">
          <a:solidFill>
            <a:schemeClr val="lt1">
              <a:shade val="50000"/>
            </a:schemeClr>
          </a:solidFill>
          <a:round/>
        </a:ln>
      </xdr:spPr>
      <xdr:style>
        <a:lnRef idx="0">
          <a:scrgbClr r="0" g="0" b="0"/>
        </a:lnRef>
        <a:fillRef idx="0">
          <a:scrgbClr r="0" g="0" b="0"/>
        </a:fillRef>
        <a:effectRef idx="0">
          <a:scrgbClr r="0" g="0" b="0"/>
        </a:effectRef>
        <a:fontRef idx="minor"/>
      </xdr:style>
      <xdr:txBody>
        <a:bodyPr lIns="90000" tIns="45000" rIns="90000" bIns="45000"/>
        <a:lstStyle/>
        <a:p>
          <a:r>
            <a:rPr lang="fr-FR" sz="1200" b="1" strike="noStrike" spc="-1">
              <a:solidFill>
                <a:srgbClr val="000000"/>
              </a:solidFill>
              <a:latin typeface="Calibri"/>
            </a:rPr>
            <a:t>D'où vient ce simulateur</a:t>
          </a:r>
          <a:endParaRPr lang="fr-FR" sz="1200" b="0" strike="noStrike" spc="-1">
            <a:latin typeface="Times New Roman"/>
          </a:endParaRPr>
        </a:p>
        <a:p>
          <a:r>
            <a:rPr lang="fr-FR" sz="1100" b="0" strike="noStrike" spc="-1">
              <a:solidFill>
                <a:srgbClr val="000000"/>
              </a:solidFill>
              <a:latin typeface="Calibri"/>
            </a:rPr>
            <a:t>Cet outil a été développé par </a:t>
          </a:r>
          <a:r>
            <a:rPr lang="fr-FR" sz="1100" b="1" strike="noStrike" spc="-1">
              <a:solidFill>
                <a:srgbClr val="000000"/>
              </a:solidFill>
              <a:latin typeface="Calibri"/>
            </a:rPr>
            <a:t>l'Agence Locale de l'Energie d'Indre et Loire</a:t>
          </a:r>
          <a:r>
            <a:rPr lang="fr-FR" sz="1100" b="0" strike="noStrike" spc="-1">
              <a:solidFill>
                <a:srgbClr val="000000"/>
              </a:solidFill>
              <a:latin typeface="Calibri"/>
            </a:rPr>
            <a:t> pour la </a:t>
          </a:r>
          <a:r>
            <a:rPr lang="fr-FR" sz="1100" b="1" strike="noStrike" spc="-1">
              <a:solidFill>
                <a:srgbClr val="000000"/>
              </a:solidFill>
              <a:latin typeface="Calibri"/>
            </a:rPr>
            <a:t>Fondation Abbé Pierre, </a:t>
          </a:r>
          <a:r>
            <a:rPr lang="fr-FR" sz="1100" b="0" strike="noStrike" spc="-1">
              <a:solidFill>
                <a:srgbClr val="000000"/>
              </a:solidFill>
              <a:latin typeface="Calibri"/>
            </a:rPr>
            <a:t>dans le cadre de son programme </a:t>
          </a:r>
          <a:r>
            <a:rPr lang="fr-FR" sz="1100" b="1" strike="noStrike" spc="-1">
              <a:solidFill>
                <a:srgbClr val="000000"/>
              </a:solidFill>
              <a:latin typeface="Calibri"/>
            </a:rPr>
            <a:t>Toits d'Abord </a:t>
          </a:r>
          <a:r>
            <a:rPr lang="fr-FR" sz="1100" b="0" strike="noStrike" spc="-1">
              <a:solidFill>
                <a:srgbClr val="000000"/>
              </a:solidFill>
              <a:latin typeface="Calibri"/>
            </a:rPr>
            <a:t>de soutien à la production de logements d'insertion. Depuis 2019, </a:t>
          </a:r>
          <a:r>
            <a:rPr lang="fr-FR" sz="1100" b="1" strike="noStrike" spc="-1">
              <a:solidFill>
                <a:srgbClr val="000000"/>
              </a:solidFill>
              <a:latin typeface="Calibri"/>
            </a:rPr>
            <a:t>Gefosat</a:t>
          </a:r>
          <a:r>
            <a:rPr lang="fr-FR" sz="1100" b="0" strike="noStrike" spc="-1">
              <a:solidFill>
                <a:srgbClr val="000000"/>
              </a:solidFill>
              <a:latin typeface="Calibri"/>
            </a:rPr>
            <a:t> assure la mise à jour et les évolutions de l'outil.</a:t>
          </a:r>
          <a:endParaRPr lang="fr-FR" sz="1100" b="0" strike="noStrike" spc="-1">
            <a:latin typeface="Times New Roman"/>
          </a:endParaRPr>
        </a:p>
        <a:p>
          <a:r>
            <a:rPr lang="fr-FR" sz="1100" b="0" strike="noStrike" spc="-1">
              <a:solidFill>
                <a:srgbClr val="000000"/>
              </a:solidFill>
              <a:latin typeface="Calibri"/>
            </a:rPr>
            <a:t>Ce simulateur a pour objectif  de partager des références communes et de faciliter la simulation du coût d'usage et du reste pour vivre des futurs locataires de logements très sociaux produits par acquisition-amélioration ou bail à réhabilitation.</a:t>
          </a:r>
          <a:endParaRPr lang="fr-FR" sz="1100" b="0" strike="noStrike" spc="-1">
            <a:latin typeface="Times New Roman"/>
          </a:endParaRPr>
        </a:p>
        <a:p>
          <a:r>
            <a:rPr lang="fr-FR" sz="1100" b="0" strike="noStrike" spc="-1">
              <a:solidFill>
                <a:srgbClr val="000000"/>
              </a:solidFill>
              <a:latin typeface="Calibri"/>
            </a:rPr>
            <a:t>Il est maintenu à jour sur la base des tarifs réglementés pour l'électricité et le gaz de réseau et la base ministérielle Pégase pour les autres.</a:t>
          </a:r>
          <a:endParaRPr lang="fr-FR" sz="1100" b="0" strike="noStrike" spc="-1">
            <a:latin typeface="Times New Roman"/>
          </a:endParaRPr>
        </a:p>
        <a:p>
          <a:r>
            <a:rPr lang="fr-FR" sz="1100" b="0" strike="noStrike" spc="-1">
              <a:solidFill>
                <a:srgbClr val="000000"/>
              </a:solidFill>
              <a:latin typeface="Calibri"/>
            </a:rPr>
            <a:t>Les tarifs socaux (TPN et TSS) ont été remplacés par le chèque énergie.</a:t>
          </a:r>
          <a:endParaRPr lang="fr-FR" sz="1100" b="0" strike="noStrike" spc="-1">
            <a:latin typeface="Times New Roman"/>
          </a:endParaRPr>
        </a:p>
        <a:p>
          <a:r>
            <a:rPr lang="fr-FR" sz="1100" b="0" strike="noStrike" spc="-1">
              <a:solidFill>
                <a:srgbClr val="000000"/>
              </a:solidFill>
              <a:latin typeface="Calibri"/>
            </a:rPr>
            <a:t>La simulation produite n'est ni précise ni exacte mais vise à projeter au mieux, sur la base d'informations simples et au-delà des consommations conventionnelles, le coût complet du logement pour les locataires auquel il sera loué.</a:t>
          </a:r>
          <a:endParaRPr lang="fr-FR" sz="1100" b="0" strike="noStrike" spc="-1">
            <a:latin typeface="Times New Roman"/>
          </a:endParaRPr>
        </a:p>
        <a:p>
          <a:endParaRPr lang="fr-FR" sz="1100" b="0" strike="noStrike" spc="-1">
            <a:latin typeface="Times New Roman"/>
          </a:endParaRPr>
        </a:p>
        <a:p>
          <a:r>
            <a:rPr lang="fr-FR" sz="1200" b="1" strike="noStrike" spc="-1">
              <a:solidFill>
                <a:srgbClr val="000000"/>
              </a:solidFill>
              <a:latin typeface="Calibri"/>
            </a:rPr>
            <a:t>Conditions d'utilisation et de diffusion</a:t>
          </a:r>
          <a:endParaRPr lang="fr-FR" sz="1200" b="0" strike="noStrike" spc="-1">
            <a:latin typeface="Times New Roman"/>
          </a:endParaRPr>
        </a:p>
        <a:p>
          <a:r>
            <a:rPr lang="fr-FR" sz="1100" b="0" strike="noStrike" spc="-1">
              <a:solidFill>
                <a:srgbClr val="000000"/>
              </a:solidFill>
              <a:latin typeface="Calibri"/>
            </a:rPr>
            <a:t>Il est utilisable par toute personne ou organisation qui le souhaite, dans les </a:t>
          </a:r>
          <a:r>
            <a:rPr lang="fr-FR" sz="1100" b="1" strike="noStrike" spc="-1">
              <a:solidFill>
                <a:srgbClr val="000000"/>
              </a:solidFill>
              <a:latin typeface="Calibri"/>
            </a:rPr>
            <a:t>conditions de Licence libre </a:t>
          </a:r>
          <a:r>
            <a:rPr lang="fr-FR" sz="1100" b="1" i="1" strike="noStrike" spc="-1">
              <a:solidFill>
                <a:srgbClr val="000000"/>
              </a:solidFill>
              <a:latin typeface="Calibri"/>
            </a:rPr>
            <a:t>Creative commons </a:t>
          </a:r>
          <a:r>
            <a:rPr lang="fr-FR" sz="1100" b="1" strike="noStrike" spc="-1">
              <a:solidFill>
                <a:srgbClr val="000000"/>
              </a:solidFill>
              <a:latin typeface="Calibri"/>
            </a:rPr>
            <a:t>suivantes </a:t>
          </a:r>
          <a:r>
            <a:rPr lang="fr-FR" sz="1100" b="0" strike="noStrike" spc="-1">
              <a:solidFill>
                <a:srgbClr val="000000"/>
              </a:solidFill>
              <a:latin typeface="Calibri"/>
            </a:rPr>
            <a:t>: paternité (pas d'usage sans citer explicitement les auteurs ALE 37,Gefosat  et Fondation Abbé Pierre), pas d'utilisation commerciale, partage des conditions initiales à l'identique. Les retours de bug ou suggestions sont acceptés, mais aucune garantie de maintenance n'est donnée (indiquer "outil de simulation" dans l'objet de vos messages adressés à JCOURBIN@fondation-abbe-pierre.fr).</a:t>
          </a:r>
          <a:endParaRPr lang="fr-FR" sz="1100" b="0" strike="noStrike" spc="-1">
            <a:latin typeface="Times New Roman"/>
          </a:endParaRPr>
        </a:p>
      </xdr:txBody>
    </xdr:sp>
    <xdr:clientData/>
  </xdr:twoCellAnchor>
  <xdr:twoCellAnchor editAs="oneCell">
    <xdr:from>
      <xdr:col>4</xdr:col>
      <xdr:colOff>412920</xdr:colOff>
      <xdr:row>27</xdr:row>
      <xdr:rowOff>243360</xdr:rowOff>
    </xdr:from>
    <xdr:to>
      <xdr:col>7</xdr:col>
      <xdr:colOff>574920</xdr:colOff>
      <xdr:row>29</xdr:row>
      <xdr:rowOff>135000</xdr:rowOff>
    </xdr:to>
    <xdr:pic>
      <xdr:nvPicPr>
        <xdr:cNvPr id="3" name="Image 15"/>
        <xdr:cNvPicPr/>
      </xdr:nvPicPr>
      <xdr:blipFill>
        <a:blip xmlns:r="http://schemas.openxmlformats.org/officeDocument/2006/relationships" r:embed="rId1"/>
        <a:stretch/>
      </xdr:blipFill>
      <xdr:spPr>
        <a:xfrm>
          <a:off x="3690000" y="7415640"/>
          <a:ext cx="1960200" cy="491760"/>
        </a:xfrm>
        <a:prstGeom prst="rect">
          <a:avLst/>
        </a:prstGeom>
        <a:ln>
          <a:noFill/>
        </a:ln>
      </xdr:spPr>
    </xdr:pic>
    <xdr:clientData/>
  </xdr:twoCellAnchor>
  <xdr:twoCellAnchor editAs="oneCell">
    <xdr:from>
      <xdr:col>4</xdr:col>
      <xdr:colOff>339840</xdr:colOff>
      <xdr:row>34</xdr:row>
      <xdr:rowOff>244440</xdr:rowOff>
    </xdr:from>
    <xdr:to>
      <xdr:col>7</xdr:col>
      <xdr:colOff>501840</xdr:colOff>
      <xdr:row>36</xdr:row>
      <xdr:rowOff>136080</xdr:rowOff>
    </xdr:to>
    <xdr:pic>
      <xdr:nvPicPr>
        <xdr:cNvPr id="4" name="Image 17"/>
        <xdr:cNvPicPr/>
      </xdr:nvPicPr>
      <xdr:blipFill>
        <a:blip xmlns:r="http://schemas.openxmlformats.org/officeDocument/2006/relationships" r:embed="rId1"/>
        <a:stretch/>
      </xdr:blipFill>
      <xdr:spPr>
        <a:xfrm>
          <a:off x="3616920" y="9978840"/>
          <a:ext cx="1960200" cy="491760"/>
        </a:xfrm>
        <a:prstGeom prst="rect">
          <a:avLst/>
        </a:prstGeom>
        <a:ln>
          <a:noFill/>
        </a:ln>
      </xdr:spPr>
    </xdr:pic>
    <xdr:clientData/>
  </xdr:twoCellAnchor>
  <xdr:twoCellAnchor editAs="oneCell">
    <xdr:from>
      <xdr:col>12</xdr:col>
      <xdr:colOff>105840</xdr:colOff>
      <xdr:row>24</xdr:row>
      <xdr:rowOff>21240</xdr:rowOff>
    </xdr:from>
    <xdr:to>
      <xdr:col>16</xdr:col>
      <xdr:colOff>492840</xdr:colOff>
      <xdr:row>24</xdr:row>
      <xdr:rowOff>452880</xdr:rowOff>
    </xdr:to>
    <xdr:pic>
      <xdr:nvPicPr>
        <xdr:cNvPr id="5" name="Image 2"/>
        <xdr:cNvPicPr/>
      </xdr:nvPicPr>
      <xdr:blipFill>
        <a:blip xmlns:r="http://schemas.openxmlformats.org/officeDocument/2006/relationships" r:embed="rId2"/>
        <a:stretch/>
      </xdr:blipFill>
      <xdr:spPr>
        <a:xfrm>
          <a:off x="8946720" y="5183640"/>
          <a:ext cx="3399480" cy="431640"/>
        </a:xfrm>
        <a:prstGeom prst="rect">
          <a:avLst/>
        </a:prstGeom>
        <a:ln>
          <a:noFill/>
        </a:ln>
      </xdr:spPr>
    </xdr:pic>
    <xdr:clientData/>
  </xdr:twoCellAnchor>
  <xdr:twoCellAnchor editAs="oneCell">
    <xdr:from>
      <xdr:col>12</xdr:col>
      <xdr:colOff>95400</xdr:colOff>
      <xdr:row>24</xdr:row>
      <xdr:rowOff>486720</xdr:rowOff>
    </xdr:from>
    <xdr:to>
      <xdr:col>16</xdr:col>
      <xdr:colOff>551880</xdr:colOff>
      <xdr:row>25</xdr:row>
      <xdr:rowOff>114120</xdr:rowOff>
    </xdr:to>
    <xdr:pic>
      <xdr:nvPicPr>
        <xdr:cNvPr id="6" name="Image 3"/>
        <xdr:cNvPicPr/>
      </xdr:nvPicPr>
      <xdr:blipFill>
        <a:blip xmlns:r="http://schemas.openxmlformats.org/officeDocument/2006/relationships" r:embed="rId3"/>
        <a:stretch/>
      </xdr:blipFill>
      <xdr:spPr>
        <a:xfrm>
          <a:off x="8936280" y="5649120"/>
          <a:ext cx="3468960" cy="427320"/>
        </a:xfrm>
        <a:prstGeom prst="rect">
          <a:avLst/>
        </a:prstGeom>
        <a:ln>
          <a:noFill/>
        </a:ln>
      </xdr:spPr>
    </xdr:pic>
    <xdr:clientData/>
  </xdr:twoCellAnchor>
  <xdr:twoCellAnchor editAs="oneCell">
    <xdr:from>
      <xdr:col>4</xdr:col>
      <xdr:colOff>275040</xdr:colOff>
      <xdr:row>26</xdr:row>
      <xdr:rowOff>656280</xdr:rowOff>
    </xdr:from>
    <xdr:to>
      <xdr:col>8</xdr:col>
      <xdr:colOff>666000</xdr:colOff>
      <xdr:row>26</xdr:row>
      <xdr:rowOff>878040</xdr:rowOff>
    </xdr:to>
    <xdr:pic>
      <xdr:nvPicPr>
        <xdr:cNvPr id="7" name="Image 4"/>
        <xdr:cNvPicPr/>
      </xdr:nvPicPr>
      <xdr:blipFill>
        <a:blip xmlns:r="http://schemas.openxmlformats.org/officeDocument/2006/relationships" r:embed="rId4"/>
        <a:srcRect t="12649" b="20649"/>
        <a:stretch/>
      </xdr:blipFill>
      <xdr:spPr>
        <a:xfrm>
          <a:off x="3552120" y="6809400"/>
          <a:ext cx="2942280" cy="221760"/>
        </a:xfrm>
        <a:prstGeom prst="rect">
          <a:avLst/>
        </a:prstGeom>
        <a:ln>
          <a:noFill/>
        </a:ln>
      </xdr:spPr>
    </xdr:pic>
    <xdr:clientData/>
  </xdr:twoCellAnchor>
  <xdr:twoCellAnchor editAs="oneCell">
    <xdr:from>
      <xdr:col>4</xdr:col>
      <xdr:colOff>201240</xdr:colOff>
      <xdr:row>33</xdr:row>
      <xdr:rowOff>63360</xdr:rowOff>
    </xdr:from>
    <xdr:to>
      <xdr:col>8</xdr:col>
      <xdr:colOff>192240</xdr:colOff>
      <xdr:row>33</xdr:row>
      <xdr:rowOff>285120</xdr:rowOff>
    </xdr:to>
    <xdr:pic>
      <xdr:nvPicPr>
        <xdr:cNvPr id="8" name="Image 5"/>
        <xdr:cNvPicPr/>
      </xdr:nvPicPr>
      <xdr:blipFill>
        <a:blip xmlns:r="http://schemas.openxmlformats.org/officeDocument/2006/relationships" r:embed="rId5"/>
        <a:srcRect b="19557"/>
        <a:stretch/>
      </xdr:blipFill>
      <xdr:spPr>
        <a:xfrm>
          <a:off x="3478320" y="9397800"/>
          <a:ext cx="2542320" cy="221760"/>
        </a:xfrm>
        <a:prstGeom prst="rect">
          <a:avLst/>
        </a:prstGeom>
        <a:ln>
          <a:noFill/>
        </a:ln>
      </xdr:spPr>
    </xdr:pic>
    <xdr:clientData/>
  </xdr:twoCellAnchor>
  <xdr:twoCellAnchor editAs="oneCell">
    <xdr:from>
      <xdr:col>10</xdr:col>
      <xdr:colOff>158760</xdr:colOff>
      <xdr:row>33</xdr:row>
      <xdr:rowOff>52920</xdr:rowOff>
    </xdr:from>
    <xdr:to>
      <xdr:col>16</xdr:col>
      <xdr:colOff>276840</xdr:colOff>
      <xdr:row>39</xdr:row>
      <xdr:rowOff>59760</xdr:rowOff>
    </xdr:to>
    <xdr:pic>
      <xdr:nvPicPr>
        <xdr:cNvPr id="9" name="Image 6"/>
        <xdr:cNvPicPr/>
      </xdr:nvPicPr>
      <xdr:blipFill>
        <a:blip xmlns:r="http://schemas.openxmlformats.org/officeDocument/2006/relationships" r:embed="rId6"/>
        <a:stretch/>
      </xdr:blipFill>
      <xdr:spPr>
        <a:xfrm>
          <a:off x="7493400" y="9387360"/>
          <a:ext cx="4636800" cy="157824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714240</xdr:colOff>
      <xdr:row>10</xdr:row>
      <xdr:rowOff>38160</xdr:rowOff>
    </xdr:from>
    <xdr:to>
      <xdr:col>20</xdr:col>
      <xdr:colOff>456840</xdr:colOff>
      <xdr:row>25</xdr:row>
      <xdr:rowOff>95040</xdr:rowOff>
    </xdr:to>
    <xdr:sp macro="" textlink="">
      <xdr:nvSpPr>
        <xdr:cNvPr id="8" name="CustomShape 1"/>
        <xdr:cNvSpPr/>
      </xdr:nvSpPr>
      <xdr:spPr>
        <a:xfrm>
          <a:off x="9280800" y="3876480"/>
          <a:ext cx="6304680" cy="3247920"/>
        </a:xfrm>
        <a:prstGeom prst="rect">
          <a:avLst/>
        </a:prstGeom>
        <a:solidFill>
          <a:schemeClr val="lt1"/>
        </a:solidFill>
        <a:ln w="9360">
          <a:solidFill>
            <a:schemeClr val="lt1">
              <a:shade val="50000"/>
            </a:schemeClr>
          </a:solidFill>
          <a:round/>
        </a:ln>
      </xdr:spPr>
      <xdr:style>
        <a:lnRef idx="0">
          <a:scrgbClr r="0" g="0" b="0"/>
        </a:lnRef>
        <a:fillRef idx="0">
          <a:scrgbClr r="0" g="0" b="0"/>
        </a:fillRef>
        <a:effectRef idx="0">
          <a:scrgbClr r="0" g="0" b="0"/>
        </a:effectRef>
        <a:fontRef idx="minor"/>
      </xdr:style>
      <xdr:txBody>
        <a:bodyPr lIns="90000" tIns="45000" rIns="90000" bIns="45000"/>
        <a:lstStyle/>
        <a:p>
          <a:r>
            <a:rPr lang="fr-FR" sz="1100" b="1" strike="noStrike" spc="-1">
              <a:solidFill>
                <a:srgbClr val="000000"/>
              </a:solidFill>
              <a:latin typeface="Calibri"/>
            </a:rPr>
            <a:t>(1) Chèque Energie</a:t>
          </a:r>
          <a:r>
            <a:rPr lang="fr-FR" sz="1100" b="0" strike="noStrike" spc="-1">
              <a:solidFill>
                <a:srgbClr val="000000"/>
              </a:solidFill>
              <a:latin typeface="Calibri"/>
            </a:rPr>
            <a:t>: </a:t>
          </a:r>
          <a:r>
            <a:rPr lang="fr-FR" sz="1000" b="0" strike="noStrike" spc="-1">
              <a:solidFill>
                <a:srgbClr val="000000"/>
              </a:solidFill>
              <a:latin typeface="Calibri"/>
            </a:rPr>
            <a:t>Dispositif d’aide au paiement des dépenses d’énergie qui s’est substitué aux tarifs sociaux de l’énergie (tarif de première nécessité pour l’électricité et tarif spécial de solidarité pour le gaz naturel). Il est attribué sur la base d’un critère fiscal unique, en tenant compte du revenu fiscal de référence du ménage.</a:t>
          </a:r>
          <a:r>
            <a:t/>
          </a:r>
          <a:br/>
          <a:r>
            <a:rPr lang="fr-FR" sz="1000" b="0" strike="noStrike" spc="-1">
              <a:solidFill>
                <a:srgbClr val="000000"/>
              </a:solidFill>
              <a:latin typeface="Calibri"/>
            </a:rPr>
            <a:t>Il permet aux ménages bénéficiaires de régler des factures d’énergie (électricité, gaz, fioul, bois…) ou de financer une partie des travaux d’économies d’énergie qu’ils engagent dans leur logement.</a:t>
          </a:r>
          <a:endParaRPr lang="fr-FR" sz="1000" b="0" strike="noStrike" spc="-1">
            <a:latin typeface="Times New Roman"/>
          </a:endParaRPr>
        </a:p>
        <a:p>
          <a:endParaRPr lang="fr-FR" sz="1000" b="0" strike="noStrike" spc="-1">
            <a:latin typeface="Times New Roman"/>
          </a:endParaRPr>
        </a:p>
        <a:p>
          <a:r>
            <a:rPr lang="fr-FR" sz="1100" b="1" strike="noStrike" spc="-1">
              <a:solidFill>
                <a:srgbClr val="000000"/>
              </a:solidFill>
              <a:latin typeface="Calibri"/>
            </a:rPr>
            <a:t>(2) Unité de Consommation  </a:t>
          </a:r>
          <a:r>
            <a:rPr lang="fr-FR" sz="1100" b="0" strike="noStrike" spc="-1">
              <a:solidFill>
                <a:srgbClr val="000000"/>
              </a:solidFill>
              <a:latin typeface="Calibri"/>
            </a:rPr>
            <a:t>= </a:t>
          </a:r>
          <a:r>
            <a:rPr lang="fr-FR" sz="1000" b="0" strike="noStrike" spc="-1">
              <a:solidFill>
                <a:srgbClr val="000000"/>
              </a:solidFill>
              <a:latin typeface="Calibri"/>
            </a:rPr>
            <a:t>Pondération  des ressources ou des dépenses des ménages sur la base suivante : </a:t>
          </a:r>
          <a:endParaRPr lang="fr-FR" sz="1000" b="0" strike="noStrike" spc="-1">
            <a:latin typeface="Times New Roman"/>
          </a:endParaRPr>
        </a:p>
        <a:p>
          <a:r>
            <a:rPr lang="fr-FR" sz="1000" b="0" strike="noStrike" spc="-1">
              <a:solidFill>
                <a:srgbClr val="000000"/>
              </a:solidFill>
              <a:latin typeface="Calibri"/>
            </a:rPr>
            <a:t>UC = 1 pour la première personne du ménage</a:t>
          </a:r>
          <a:endParaRPr lang="fr-FR" sz="1000" b="0" strike="noStrike" spc="-1">
            <a:latin typeface="Times New Roman"/>
          </a:endParaRPr>
        </a:p>
        <a:p>
          <a:r>
            <a:rPr lang="fr-FR" sz="1000" b="0" strike="noStrike" spc="-1">
              <a:solidFill>
                <a:srgbClr val="000000"/>
              </a:solidFill>
              <a:latin typeface="Calibri"/>
            </a:rPr>
            <a:t>UC=0,5 pour toute autre personne de 14 ans et plus</a:t>
          </a:r>
          <a:endParaRPr lang="fr-FR" sz="1000" b="0" strike="noStrike" spc="-1">
            <a:latin typeface="Times New Roman"/>
          </a:endParaRPr>
        </a:p>
        <a:p>
          <a:r>
            <a:rPr lang="fr-FR" sz="1000" b="0" strike="noStrike" spc="-1">
              <a:solidFill>
                <a:srgbClr val="000000"/>
              </a:solidFill>
              <a:latin typeface="Calibri"/>
            </a:rPr>
            <a:t>UC=0,3 pour toute autre personne de moins de 14 ans.</a:t>
          </a:r>
          <a:endParaRPr lang="fr-FR" sz="1000" b="0" strike="noStrike" spc="-1">
            <a:latin typeface="Times New Roman"/>
          </a:endParaRPr>
        </a:p>
        <a:p>
          <a:r>
            <a:rPr lang="fr-FR" sz="1000" b="0" strike="noStrike" spc="-1">
              <a:solidFill>
                <a:srgbClr val="000000"/>
              </a:solidFill>
              <a:latin typeface="Calibri"/>
            </a:rPr>
            <a:t>Exemple : </a:t>
          </a:r>
          <a:endParaRPr lang="fr-FR" sz="1000" b="0" strike="noStrike" spc="-1">
            <a:latin typeface="Times New Roman"/>
          </a:endParaRPr>
        </a:p>
        <a:p>
          <a:r>
            <a:rPr lang="fr-FR" sz="1000" b="0" strike="noStrike" spc="-1">
              <a:solidFill>
                <a:srgbClr val="000000"/>
              </a:solidFill>
              <a:latin typeface="Calibri"/>
            </a:rPr>
            <a:t>1 couple avec 1 enfant de 12 ans = 1 + 0,5 + 0,3 = 1,8 UC</a:t>
          </a:r>
          <a:endParaRPr lang="fr-FR" sz="1000" b="0" strike="noStrike" spc="-1">
            <a:latin typeface="Times New Roman"/>
          </a:endParaRPr>
        </a:p>
        <a:p>
          <a:r>
            <a:rPr lang="fr-FR" sz="1000" b="0" strike="noStrike" spc="-1">
              <a:solidFill>
                <a:srgbClr val="000000"/>
              </a:solidFill>
              <a:latin typeface="Calibri"/>
            </a:rPr>
            <a:t>Référence :  le seuil de pauvreté en France est aujourd'hui de 1 015 € pour une personne seule..</a:t>
          </a:r>
          <a:endParaRPr lang="fr-FR" sz="1000" b="0" strike="noStrike" spc="-1">
            <a:latin typeface="Times New Roman"/>
          </a:endParaRPr>
        </a:p>
      </xdr:txBody>
    </xdr:sp>
    <xdr:clientData/>
  </xdr:twoCellAnchor>
  <xdr:twoCellAnchor editAs="oneCell">
    <xdr:from>
      <xdr:col>0</xdr:col>
      <xdr:colOff>0</xdr:colOff>
      <xdr:row>25</xdr:row>
      <xdr:rowOff>0</xdr:rowOff>
    </xdr:from>
    <xdr:to>
      <xdr:col>5</xdr:col>
      <xdr:colOff>571320</xdr:colOff>
      <xdr:row>33</xdr:row>
      <xdr:rowOff>78840</xdr:rowOff>
    </xdr:to>
    <xdr:sp macro="" textlink="">
      <xdr:nvSpPr>
        <xdr:cNvPr id="9" name="CustomShape 1"/>
        <xdr:cNvSpPr/>
      </xdr:nvSpPr>
      <xdr:spPr>
        <a:xfrm>
          <a:off x="0" y="7029360"/>
          <a:ext cx="4269960" cy="1602720"/>
        </a:xfrm>
        <a:prstGeom prst="rect">
          <a:avLst/>
        </a:prstGeom>
        <a:solidFill>
          <a:schemeClr val="lt1"/>
        </a:solidFill>
        <a:ln w="9360">
          <a:solidFill>
            <a:schemeClr val="lt1">
              <a:shade val="50000"/>
            </a:schemeClr>
          </a:solidFill>
          <a:round/>
        </a:ln>
      </xdr:spPr>
      <xdr:style>
        <a:lnRef idx="0">
          <a:scrgbClr r="0" g="0" b="0"/>
        </a:lnRef>
        <a:fillRef idx="0">
          <a:scrgbClr r="0" g="0" b="0"/>
        </a:fillRef>
        <a:effectRef idx="0">
          <a:scrgbClr r="0" g="0" b="0"/>
        </a:effectRef>
        <a:fontRef idx="minor"/>
      </xdr:style>
      <xdr:txBody>
        <a:bodyPr lIns="90000" tIns="45000" rIns="90000" bIns="45000"/>
        <a:lstStyle/>
        <a:p>
          <a:r>
            <a:rPr lang="fr-FR" sz="1200" b="1" u="sng" strike="noStrike" spc="-1">
              <a:solidFill>
                <a:srgbClr val="000000"/>
              </a:solidFill>
              <a:uFillTx/>
              <a:latin typeface="Calibri"/>
            </a:rPr>
            <a:t>Outil conçu et réalisé par :</a:t>
          </a:r>
          <a:endParaRPr lang="fr-FR" sz="1200" b="0" strike="noStrike" spc="-1">
            <a:latin typeface="Times New Roman"/>
          </a:endParaRPr>
        </a:p>
      </xdr:txBody>
    </xdr:sp>
    <xdr:clientData/>
  </xdr:twoCellAnchor>
  <xdr:twoCellAnchor editAs="oneCell">
    <xdr:from>
      <xdr:col>0</xdr:col>
      <xdr:colOff>95400</xdr:colOff>
      <xdr:row>26</xdr:row>
      <xdr:rowOff>111240</xdr:rowOff>
    </xdr:from>
    <xdr:to>
      <xdr:col>1</xdr:col>
      <xdr:colOff>303480</xdr:colOff>
      <xdr:row>33</xdr:row>
      <xdr:rowOff>37440</xdr:rowOff>
    </xdr:to>
    <xdr:pic>
      <xdr:nvPicPr>
        <xdr:cNvPr id="10" name="Image 6"/>
        <xdr:cNvPicPr/>
      </xdr:nvPicPr>
      <xdr:blipFill>
        <a:blip xmlns:r="http://schemas.openxmlformats.org/officeDocument/2006/relationships" r:embed="rId1"/>
        <a:stretch/>
      </xdr:blipFill>
      <xdr:spPr>
        <a:xfrm>
          <a:off x="95400" y="7331040"/>
          <a:ext cx="1074600" cy="1259640"/>
        </a:xfrm>
        <a:prstGeom prst="rect">
          <a:avLst/>
        </a:prstGeom>
        <a:ln>
          <a:noFill/>
        </a:ln>
      </xdr:spPr>
    </xdr:pic>
    <xdr:clientData/>
  </xdr:twoCellAnchor>
  <xdr:twoCellAnchor editAs="oneCell">
    <xdr:from>
      <xdr:col>1</xdr:col>
      <xdr:colOff>400680</xdr:colOff>
      <xdr:row>28</xdr:row>
      <xdr:rowOff>47520</xdr:rowOff>
    </xdr:from>
    <xdr:to>
      <xdr:col>4</xdr:col>
      <xdr:colOff>174960</xdr:colOff>
      <xdr:row>33</xdr:row>
      <xdr:rowOff>30600</xdr:rowOff>
    </xdr:to>
    <xdr:pic>
      <xdr:nvPicPr>
        <xdr:cNvPr id="11" name="Image 7"/>
        <xdr:cNvPicPr/>
      </xdr:nvPicPr>
      <xdr:blipFill>
        <a:blip xmlns:r="http://schemas.openxmlformats.org/officeDocument/2006/relationships" r:embed="rId2"/>
        <a:stretch/>
      </xdr:blipFill>
      <xdr:spPr>
        <a:xfrm>
          <a:off x="1267200" y="7648200"/>
          <a:ext cx="1840680" cy="935640"/>
        </a:xfrm>
        <a:prstGeom prst="rect">
          <a:avLst/>
        </a:prstGeom>
        <a:ln>
          <a:noFill/>
        </a:ln>
      </xdr:spPr>
    </xdr:pic>
    <xdr:clientData/>
  </xdr:twoCellAnchor>
  <xdr:twoCellAnchor editAs="oneCell">
    <xdr:from>
      <xdr:col>4</xdr:col>
      <xdr:colOff>240840</xdr:colOff>
      <xdr:row>27</xdr:row>
      <xdr:rowOff>140760</xdr:rowOff>
    </xdr:from>
    <xdr:to>
      <xdr:col>5</xdr:col>
      <xdr:colOff>546120</xdr:colOff>
      <xdr:row>33</xdr:row>
      <xdr:rowOff>41400</xdr:rowOff>
    </xdr:to>
    <xdr:pic>
      <xdr:nvPicPr>
        <xdr:cNvPr id="12" name="Image 8"/>
        <xdr:cNvPicPr/>
      </xdr:nvPicPr>
      <xdr:blipFill>
        <a:blip xmlns:r="http://schemas.openxmlformats.org/officeDocument/2006/relationships" r:embed="rId3"/>
        <a:stretch/>
      </xdr:blipFill>
      <xdr:spPr>
        <a:xfrm>
          <a:off x="3173760" y="7551000"/>
          <a:ext cx="1071000" cy="104364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390600</xdr:colOff>
      <xdr:row>15</xdr:row>
      <xdr:rowOff>106920</xdr:rowOff>
    </xdr:from>
    <xdr:to>
      <xdr:col>19</xdr:col>
      <xdr:colOff>61200</xdr:colOff>
      <xdr:row>23</xdr:row>
      <xdr:rowOff>171000</xdr:rowOff>
    </xdr:to>
    <xdr:sp macro="" textlink="">
      <xdr:nvSpPr>
        <xdr:cNvPr id="13" name="CustomShape 1"/>
        <xdr:cNvSpPr/>
      </xdr:nvSpPr>
      <xdr:spPr>
        <a:xfrm>
          <a:off x="8240400" y="4793040"/>
          <a:ext cx="6230520" cy="1847880"/>
        </a:xfrm>
        <a:prstGeom prst="rect">
          <a:avLst/>
        </a:prstGeom>
        <a:solidFill>
          <a:schemeClr val="lt1"/>
        </a:solidFill>
        <a:ln w="9360">
          <a:solidFill>
            <a:schemeClr val="lt1">
              <a:shade val="50000"/>
            </a:schemeClr>
          </a:solidFill>
          <a:round/>
        </a:ln>
      </xdr:spPr>
      <xdr:style>
        <a:lnRef idx="0">
          <a:scrgbClr r="0" g="0" b="0"/>
        </a:lnRef>
        <a:fillRef idx="0">
          <a:scrgbClr r="0" g="0" b="0"/>
        </a:fillRef>
        <a:effectRef idx="0">
          <a:scrgbClr r="0" g="0" b="0"/>
        </a:effectRef>
        <a:fontRef idx="minor"/>
      </xdr:style>
      <xdr:txBody>
        <a:bodyPr lIns="90000" tIns="45000" rIns="90000" bIns="45000"/>
        <a:lstStyle/>
        <a:p>
          <a:r>
            <a:rPr lang="fr-FR" sz="1100" b="1" strike="noStrike" spc="-1">
              <a:solidFill>
                <a:srgbClr val="000000"/>
              </a:solidFill>
              <a:latin typeface="Calibri"/>
            </a:rPr>
            <a:t>(1) Chèque Energie</a:t>
          </a:r>
          <a:r>
            <a:rPr lang="fr-FR" sz="1100" b="0" strike="noStrike" spc="-1">
              <a:solidFill>
                <a:srgbClr val="000000"/>
              </a:solidFill>
              <a:latin typeface="Calibri"/>
            </a:rPr>
            <a:t>: </a:t>
          </a:r>
          <a:r>
            <a:rPr lang="fr-FR" sz="1000" b="0" strike="noStrike" spc="-1">
              <a:solidFill>
                <a:srgbClr val="000000"/>
              </a:solidFill>
              <a:latin typeface="Calibri"/>
            </a:rPr>
            <a:t>Dispositif d’aide au paiement des dépenses d’énergie qui s’est substitué aux tarifs sociaux de l’énergie (tarif de première nécessité pour l’électricité et tarif spécial de solidarité pour le gaz naturel). Il est attribué sur la base d’un critère fiscal unique, en tenant compte du revenu fiscal de référence du ménage.</a:t>
          </a:r>
          <a:r>
            <a:t/>
          </a:r>
          <a:br/>
          <a:r>
            <a:rPr lang="fr-FR" sz="1000" b="0" strike="noStrike" spc="-1">
              <a:solidFill>
                <a:srgbClr val="000000"/>
              </a:solidFill>
              <a:latin typeface="Calibri"/>
            </a:rPr>
            <a:t>Il permet aux ménages bénéficiaires de régler des factures d’énergie (électricité, gaz, fioul, bois…) ou de financer une partie des travaux d’économies d’énergie qu’ils engagent dans leur logement.</a:t>
          </a:r>
          <a:endParaRPr lang="fr-FR" sz="1000" b="0" strike="noStrike" spc="-1">
            <a:latin typeface="Times New Roman"/>
          </a:endParaRPr>
        </a:p>
        <a:p>
          <a:endParaRPr lang="fr-FR" sz="1000" b="0" strike="noStrike" spc="-1">
            <a:latin typeface="Times New Roman"/>
          </a:endParaRPr>
        </a:p>
        <a:p>
          <a:r>
            <a:rPr lang="fr-FR" sz="1100" b="1" strike="noStrike" spc="-1">
              <a:solidFill>
                <a:srgbClr val="000000"/>
              </a:solidFill>
              <a:latin typeface="Calibri"/>
            </a:rPr>
            <a:t>(2) Unité de Consommation  </a:t>
          </a:r>
          <a:r>
            <a:rPr lang="fr-FR" sz="1100" b="0" strike="noStrike" spc="-1">
              <a:solidFill>
                <a:srgbClr val="000000"/>
              </a:solidFill>
              <a:latin typeface="Calibri"/>
            </a:rPr>
            <a:t>= </a:t>
          </a:r>
          <a:r>
            <a:rPr lang="fr-FR" sz="1000" b="0" strike="noStrike" spc="-1">
              <a:solidFill>
                <a:srgbClr val="000000"/>
              </a:solidFill>
              <a:latin typeface="Calibri"/>
            </a:rPr>
            <a:t>Pondération  des ressources ou des dépenses des ménages sur la base suivante : </a:t>
          </a:r>
          <a:endParaRPr lang="fr-FR" sz="1000" b="0" strike="noStrike" spc="-1">
            <a:latin typeface="Times New Roman"/>
          </a:endParaRPr>
        </a:p>
        <a:p>
          <a:r>
            <a:rPr lang="fr-FR" sz="1000" b="0" strike="noStrike" spc="-1">
              <a:solidFill>
                <a:srgbClr val="000000"/>
              </a:solidFill>
              <a:latin typeface="Calibri"/>
            </a:rPr>
            <a:t>UC = 1 pour la première personne du ménage</a:t>
          </a:r>
          <a:endParaRPr lang="fr-FR" sz="1000" b="0" strike="noStrike" spc="-1">
            <a:latin typeface="Times New Roman"/>
          </a:endParaRPr>
        </a:p>
        <a:p>
          <a:r>
            <a:rPr lang="fr-FR" sz="1000" b="0" strike="noStrike" spc="-1">
              <a:solidFill>
                <a:srgbClr val="000000"/>
              </a:solidFill>
              <a:latin typeface="Calibri"/>
            </a:rPr>
            <a:t>UC=0,5 pour toute autre personne de 14 ans et plus</a:t>
          </a:r>
          <a:endParaRPr lang="fr-FR" sz="1000" b="0" strike="noStrike" spc="-1">
            <a:latin typeface="Times New Roman"/>
          </a:endParaRPr>
        </a:p>
        <a:p>
          <a:r>
            <a:rPr lang="fr-FR" sz="1000" b="0" strike="noStrike" spc="-1">
              <a:solidFill>
                <a:srgbClr val="000000"/>
              </a:solidFill>
              <a:latin typeface="Calibri"/>
            </a:rPr>
            <a:t>UC=0,3 pour toute autre personne de moins de 14 ans.</a:t>
          </a:r>
          <a:endParaRPr lang="fr-FR" sz="1000" b="0" strike="noStrike" spc="-1">
            <a:latin typeface="Times New Roman"/>
          </a:endParaRPr>
        </a:p>
        <a:p>
          <a:r>
            <a:rPr lang="fr-FR" sz="1000" b="0" strike="noStrike" spc="-1">
              <a:solidFill>
                <a:srgbClr val="000000"/>
              </a:solidFill>
              <a:latin typeface="Calibri"/>
            </a:rPr>
            <a:t>Exemple : </a:t>
          </a:r>
          <a:endParaRPr lang="fr-FR" sz="1000" b="0" strike="noStrike" spc="-1">
            <a:latin typeface="Times New Roman"/>
          </a:endParaRPr>
        </a:p>
        <a:p>
          <a:r>
            <a:rPr lang="fr-FR" sz="1000" b="0" strike="noStrike" spc="-1">
              <a:solidFill>
                <a:srgbClr val="000000"/>
              </a:solidFill>
              <a:latin typeface="Calibri"/>
            </a:rPr>
            <a:t>1 couple avec 1 enfant de 12 ans = 1 + 0,5 + 0,3 = 1,8 UC</a:t>
          </a:r>
          <a:endParaRPr lang="fr-FR" sz="1000" b="0" strike="noStrike" spc="-1">
            <a:latin typeface="Times New Roman"/>
          </a:endParaRPr>
        </a:p>
        <a:p>
          <a:r>
            <a:rPr lang="fr-FR" sz="1000" b="0" strike="noStrike" spc="-1">
              <a:solidFill>
                <a:srgbClr val="000000"/>
              </a:solidFill>
              <a:latin typeface="Calibri"/>
            </a:rPr>
            <a:t>Référence :  le seuil de pauvreté en France est aujourd'hui de 1 015 € pour une personne seule..</a:t>
          </a:r>
          <a:endParaRPr lang="fr-FR" sz="1000" b="0" strike="noStrike" spc="-1">
            <a:latin typeface="Times New Roman"/>
          </a:endParaRPr>
        </a:p>
      </xdr:txBody>
    </xdr:sp>
    <xdr:clientData/>
  </xdr:twoCellAnchor>
  <xdr:twoCellAnchor editAs="oneCell">
    <xdr:from>
      <xdr:col>0</xdr:col>
      <xdr:colOff>0</xdr:colOff>
      <xdr:row>30</xdr:row>
      <xdr:rowOff>63360</xdr:rowOff>
    </xdr:from>
    <xdr:to>
      <xdr:col>5</xdr:col>
      <xdr:colOff>237600</xdr:colOff>
      <xdr:row>38</xdr:row>
      <xdr:rowOff>142200</xdr:rowOff>
    </xdr:to>
    <xdr:sp macro="" textlink="">
      <xdr:nvSpPr>
        <xdr:cNvPr id="14" name="CustomShape 1"/>
        <xdr:cNvSpPr/>
      </xdr:nvSpPr>
      <xdr:spPr>
        <a:xfrm>
          <a:off x="0" y="7781040"/>
          <a:ext cx="4258080" cy="1602720"/>
        </a:xfrm>
        <a:prstGeom prst="rect">
          <a:avLst/>
        </a:prstGeom>
        <a:solidFill>
          <a:schemeClr val="lt1"/>
        </a:solidFill>
        <a:ln w="9360">
          <a:solidFill>
            <a:schemeClr val="lt1">
              <a:shade val="50000"/>
            </a:schemeClr>
          </a:solidFill>
          <a:round/>
        </a:ln>
      </xdr:spPr>
      <xdr:style>
        <a:lnRef idx="0">
          <a:scrgbClr r="0" g="0" b="0"/>
        </a:lnRef>
        <a:fillRef idx="0">
          <a:scrgbClr r="0" g="0" b="0"/>
        </a:fillRef>
        <a:effectRef idx="0">
          <a:scrgbClr r="0" g="0" b="0"/>
        </a:effectRef>
        <a:fontRef idx="minor"/>
      </xdr:style>
      <xdr:txBody>
        <a:bodyPr lIns="90000" tIns="45000" rIns="90000" bIns="45000"/>
        <a:lstStyle/>
        <a:p>
          <a:r>
            <a:rPr lang="fr-FR" sz="1200" b="1" u="sng" strike="noStrike" spc="-1">
              <a:solidFill>
                <a:srgbClr val="000000"/>
              </a:solidFill>
              <a:uFillTx/>
              <a:latin typeface="Calibri"/>
            </a:rPr>
            <a:t>Outil conçu et réalisé par :</a:t>
          </a:r>
          <a:endParaRPr lang="fr-FR" sz="1200" b="0" strike="noStrike" spc="-1">
            <a:latin typeface="Times New Roman"/>
          </a:endParaRPr>
        </a:p>
      </xdr:txBody>
    </xdr:sp>
    <xdr:clientData/>
  </xdr:twoCellAnchor>
  <xdr:twoCellAnchor editAs="oneCell">
    <xdr:from>
      <xdr:col>0</xdr:col>
      <xdr:colOff>63360</xdr:colOff>
      <xdr:row>31</xdr:row>
      <xdr:rowOff>174600</xdr:rowOff>
    </xdr:from>
    <xdr:to>
      <xdr:col>1</xdr:col>
      <xdr:colOff>195480</xdr:colOff>
      <xdr:row>38</xdr:row>
      <xdr:rowOff>100800</xdr:rowOff>
    </xdr:to>
    <xdr:pic>
      <xdr:nvPicPr>
        <xdr:cNvPr id="15" name="Image 7"/>
        <xdr:cNvPicPr/>
      </xdr:nvPicPr>
      <xdr:blipFill>
        <a:blip xmlns:r="http://schemas.openxmlformats.org/officeDocument/2006/relationships" r:embed="rId1"/>
        <a:stretch/>
      </xdr:blipFill>
      <xdr:spPr>
        <a:xfrm>
          <a:off x="63360" y="8082720"/>
          <a:ext cx="1079280" cy="1259640"/>
        </a:xfrm>
        <a:prstGeom prst="rect">
          <a:avLst/>
        </a:prstGeom>
        <a:ln>
          <a:noFill/>
        </a:ln>
      </xdr:spPr>
    </xdr:pic>
    <xdr:clientData/>
  </xdr:twoCellAnchor>
  <xdr:twoCellAnchor editAs="oneCell">
    <xdr:from>
      <xdr:col>1</xdr:col>
      <xdr:colOff>237960</xdr:colOff>
      <xdr:row>33</xdr:row>
      <xdr:rowOff>111240</xdr:rowOff>
    </xdr:from>
    <xdr:to>
      <xdr:col>3</xdr:col>
      <xdr:colOff>507600</xdr:colOff>
      <xdr:row>38</xdr:row>
      <xdr:rowOff>94320</xdr:rowOff>
    </xdr:to>
    <xdr:pic>
      <xdr:nvPicPr>
        <xdr:cNvPr id="16" name="Image 8"/>
        <xdr:cNvPicPr/>
      </xdr:nvPicPr>
      <xdr:blipFill>
        <a:blip xmlns:r="http://schemas.openxmlformats.org/officeDocument/2006/relationships" r:embed="rId2"/>
        <a:stretch/>
      </xdr:blipFill>
      <xdr:spPr>
        <a:xfrm>
          <a:off x="1185120" y="8400240"/>
          <a:ext cx="1811520" cy="935640"/>
        </a:xfrm>
        <a:prstGeom prst="rect">
          <a:avLst/>
        </a:prstGeom>
        <a:ln>
          <a:noFill/>
        </a:ln>
      </xdr:spPr>
    </xdr:pic>
    <xdr:clientData/>
  </xdr:twoCellAnchor>
  <xdr:twoCellAnchor editAs="oneCell">
    <xdr:from>
      <xdr:col>3</xdr:col>
      <xdr:colOff>587520</xdr:colOff>
      <xdr:row>33</xdr:row>
      <xdr:rowOff>0</xdr:rowOff>
    </xdr:from>
    <xdr:to>
      <xdr:col>5</xdr:col>
      <xdr:colOff>168840</xdr:colOff>
      <xdr:row>38</xdr:row>
      <xdr:rowOff>91080</xdr:rowOff>
    </xdr:to>
    <xdr:pic>
      <xdr:nvPicPr>
        <xdr:cNvPr id="17" name="Image 9"/>
        <xdr:cNvPicPr/>
      </xdr:nvPicPr>
      <xdr:blipFill>
        <a:blip xmlns:r="http://schemas.openxmlformats.org/officeDocument/2006/relationships" r:embed="rId3"/>
        <a:stretch/>
      </xdr:blipFill>
      <xdr:spPr>
        <a:xfrm>
          <a:off x="3076560" y="8289000"/>
          <a:ext cx="1112760" cy="104364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ide-sociale.fr/rsa-socle-dossier-calcul/" TargetMode="External"/><Relationship Id="rId7" Type="http://schemas.openxmlformats.org/officeDocument/2006/relationships/drawing" Target="../drawings/drawing1.xml"/><Relationship Id="rId2" Type="http://schemas.openxmlformats.org/officeDocument/2006/relationships/hyperlink" Target="https://www.service-public.fr/particuliers/vosdroits/F16871" TargetMode="External"/><Relationship Id="rId1" Type="http://schemas.openxmlformats.org/officeDocument/2006/relationships/hyperlink" Target="https://www.aide-sociale.fr/rsa-socle-dossier-calcul/" TargetMode="External"/><Relationship Id="rId6" Type="http://schemas.openxmlformats.org/officeDocument/2006/relationships/hyperlink" Target="https://www.service-public.fr/particuliers/vosdroits/F12242" TargetMode="External"/><Relationship Id="rId5" Type="http://schemas.openxmlformats.org/officeDocument/2006/relationships/hyperlink" Target="https://www.energie-info.fr/fiche_pratique/le-cheque-energie/" TargetMode="External"/><Relationship Id="rId4" Type="http://schemas.openxmlformats.org/officeDocument/2006/relationships/hyperlink" Target="https://www.service-public.fr/particuliers/vosdroits/F13213"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ajena.org/ressources/argus-energie.htm" TargetMode="External"/><Relationship Id="rId2" Type="http://schemas.openxmlformats.org/officeDocument/2006/relationships/hyperlink" Target="https://www.fournisseurs-electricite.com/engie/tarifs/tarif-reglemente-gaz" TargetMode="External"/><Relationship Id="rId1" Type="http://schemas.openxmlformats.org/officeDocument/2006/relationships/hyperlink" Target="https://www.fournisseurs-electricite.com/edf/tarifs/bleu-reglemente"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www.commentcamarche.net/forum/affich-2886210-excel-ne-pas-afficher-valeur" TargetMode="External"/><Relationship Id="rId1" Type="http://schemas.openxmlformats.org/officeDocument/2006/relationships/hyperlink" Target="https://apprendreexcel.com/excel-message-erreur-na/"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hyperlink" Target="https://www.energie-info.fr/fiche_pratique/le-cheque-energie/"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service-public.fr/particuliers/vosdroits/F16871" TargetMode="External"/><Relationship Id="rId2" Type="http://schemas.openxmlformats.org/officeDocument/2006/relationships/hyperlink" Target="https://www.service-public.fr/particuliers/vosdroits/F13213" TargetMode="External"/><Relationship Id="rId1" Type="http://schemas.openxmlformats.org/officeDocument/2006/relationships/hyperlink" Target="https://www.aide-sociale.fr/rsa-socle-dossier-calcul/" TargetMode="External"/><Relationship Id="rId4" Type="http://schemas.openxmlformats.org/officeDocument/2006/relationships/hyperlink" Target="https://www.service-public.fr/particuliers/vosdroits/F1224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64"/>
  <sheetViews>
    <sheetView showGridLines="0" tabSelected="1" topLeftCell="A45" zoomScale="75" zoomScaleNormal="75" workbookViewId="0">
      <selection activeCell="E52" sqref="E52"/>
    </sheetView>
  </sheetViews>
  <sheetFormatPr baseColWidth="10" defaultColWidth="9.140625" defaultRowHeight="15" x14ac:dyDescent="0.25"/>
  <cols>
    <col min="1" max="1" width="14.42578125" customWidth="1"/>
    <col min="2" max="6" width="10.7109375" customWidth="1"/>
    <col min="7" max="7" width="4.140625" customWidth="1"/>
    <col min="8" max="1025" width="10.7109375" customWidth="1"/>
  </cols>
  <sheetData>
    <row r="2" spans="1:18" ht="15" customHeight="1" x14ac:dyDescent="0.25">
      <c r="A2" s="15"/>
      <c r="B2" s="15"/>
      <c r="C2" s="15"/>
      <c r="D2" s="14" t="s">
        <v>0</v>
      </c>
      <c r="E2" s="14"/>
      <c r="F2" s="14"/>
      <c r="G2" s="14"/>
      <c r="H2" s="14"/>
      <c r="I2" s="14"/>
      <c r="J2" s="14"/>
      <c r="K2" s="14"/>
      <c r="L2" s="14"/>
      <c r="M2" s="14"/>
    </row>
    <row r="3" spans="1:18" ht="15" customHeight="1" x14ac:dyDescent="0.25">
      <c r="A3" s="15"/>
      <c r="B3" s="15"/>
      <c r="C3" s="15"/>
      <c r="D3" s="14"/>
      <c r="E3" s="14"/>
      <c r="F3" s="14"/>
      <c r="G3" s="14"/>
      <c r="H3" s="14"/>
      <c r="I3" s="14"/>
      <c r="J3" s="14"/>
      <c r="K3" s="14"/>
      <c r="L3" s="14"/>
      <c r="M3" s="14"/>
    </row>
    <row r="7" spans="1:18" x14ac:dyDescent="0.25">
      <c r="A7" s="13"/>
      <c r="B7" s="13"/>
      <c r="C7" s="13"/>
      <c r="D7" s="13"/>
      <c r="E7" s="13"/>
      <c r="F7" s="13"/>
      <c r="G7" s="13"/>
      <c r="H7" s="13"/>
      <c r="I7" s="13"/>
      <c r="J7" s="13"/>
      <c r="K7" s="13"/>
      <c r="L7" s="13"/>
      <c r="M7" s="13"/>
      <c r="N7" s="13"/>
      <c r="O7" s="13"/>
      <c r="P7" s="13"/>
      <c r="Q7" s="13"/>
      <c r="R7" s="13"/>
    </row>
    <row r="8" spans="1:18" x14ac:dyDescent="0.25">
      <c r="A8" s="13"/>
      <c r="B8" s="13"/>
      <c r="C8" s="13"/>
      <c r="D8" s="13"/>
      <c r="E8" s="13"/>
      <c r="F8" s="13"/>
      <c r="G8" s="13"/>
      <c r="H8" s="13"/>
      <c r="I8" s="13"/>
      <c r="J8" s="13"/>
      <c r="K8" s="13"/>
      <c r="L8" s="13"/>
      <c r="M8" s="13"/>
      <c r="N8" s="13"/>
      <c r="O8" s="13"/>
      <c r="P8" s="13"/>
      <c r="Q8" s="13"/>
      <c r="R8" s="13"/>
    </row>
    <row r="9" spans="1:18" x14ac:dyDescent="0.25">
      <c r="A9" s="13"/>
      <c r="B9" s="13"/>
      <c r="C9" s="13"/>
      <c r="D9" s="13"/>
      <c r="E9" s="13"/>
      <c r="F9" s="13"/>
      <c r="G9" s="13"/>
      <c r="H9" s="13"/>
      <c r="I9" s="13"/>
      <c r="J9" s="13"/>
      <c r="K9" s="13"/>
      <c r="L9" s="13"/>
      <c r="M9" s="13"/>
      <c r="N9" s="13"/>
      <c r="O9" s="13"/>
      <c r="P9" s="13"/>
      <c r="Q9" s="13"/>
      <c r="R9" s="13"/>
    </row>
    <row r="10" spans="1:18" x14ac:dyDescent="0.25">
      <c r="A10" s="13"/>
      <c r="B10" s="13"/>
      <c r="C10" s="13"/>
      <c r="D10" s="13"/>
      <c r="E10" s="13"/>
      <c r="F10" s="13"/>
      <c r="G10" s="13"/>
      <c r="H10" s="13"/>
      <c r="I10" s="13"/>
      <c r="J10" s="13"/>
      <c r="K10" s="13"/>
      <c r="L10" s="13"/>
      <c r="M10" s="13"/>
      <c r="N10" s="13"/>
      <c r="O10" s="13"/>
      <c r="P10" s="13"/>
      <c r="Q10" s="13"/>
      <c r="R10" s="13"/>
    </row>
    <row r="11" spans="1:18" x14ac:dyDescent="0.25">
      <c r="A11" s="13"/>
      <c r="B11" s="13"/>
      <c r="C11" s="13"/>
      <c r="D11" s="13"/>
      <c r="E11" s="13"/>
      <c r="F11" s="13"/>
      <c r="G11" s="13"/>
      <c r="H11" s="13"/>
      <c r="I11" s="13"/>
      <c r="J11" s="13"/>
      <c r="K11" s="13"/>
      <c r="L11" s="13"/>
      <c r="M11" s="13"/>
      <c r="N11" s="13"/>
      <c r="O11" s="13"/>
      <c r="P11" s="13"/>
      <c r="Q11" s="13"/>
      <c r="R11" s="13"/>
    </row>
    <row r="12" spans="1:18" x14ac:dyDescent="0.25">
      <c r="A12" s="13"/>
      <c r="B12" s="13"/>
      <c r="C12" s="13"/>
      <c r="D12" s="13"/>
      <c r="E12" s="13"/>
      <c r="F12" s="13"/>
      <c r="G12" s="13"/>
      <c r="H12" s="13"/>
      <c r="I12" s="13"/>
      <c r="J12" s="13"/>
      <c r="K12" s="13"/>
      <c r="L12" s="13"/>
      <c r="M12" s="13"/>
      <c r="N12" s="13"/>
      <c r="O12" s="13"/>
      <c r="P12" s="13"/>
      <c r="Q12" s="13"/>
      <c r="R12" s="13"/>
    </row>
    <row r="13" spans="1:18" x14ac:dyDescent="0.25">
      <c r="A13" s="13"/>
      <c r="B13" s="13"/>
      <c r="C13" s="13"/>
      <c r="D13" s="13"/>
      <c r="E13" s="13"/>
      <c r="F13" s="13"/>
      <c r="G13" s="13"/>
      <c r="H13" s="13"/>
      <c r="I13" s="13"/>
      <c r="J13" s="13"/>
      <c r="K13" s="13"/>
      <c r="L13" s="13"/>
      <c r="M13" s="13"/>
      <c r="N13" s="13"/>
      <c r="O13" s="13"/>
      <c r="P13" s="13"/>
      <c r="Q13" s="13"/>
      <c r="R13" s="13"/>
    </row>
    <row r="14" spans="1:18" x14ac:dyDescent="0.25">
      <c r="A14" s="13"/>
      <c r="B14" s="13"/>
      <c r="C14" s="13"/>
      <c r="D14" s="13"/>
      <c r="E14" s="13"/>
      <c r="F14" s="13"/>
      <c r="G14" s="13"/>
      <c r="H14" s="13"/>
      <c r="I14" s="13"/>
      <c r="J14" s="13"/>
      <c r="K14" s="13"/>
      <c r="L14" s="13"/>
      <c r="M14" s="13"/>
      <c r="N14" s="13"/>
      <c r="O14" s="13"/>
      <c r="P14" s="13"/>
      <c r="Q14" s="13"/>
      <c r="R14" s="13"/>
    </row>
    <row r="18" spans="1:18" ht="18.75" x14ac:dyDescent="0.3">
      <c r="A18" s="16" t="s">
        <v>1</v>
      </c>
    </row>
    <row r="19" spans="1:18" ht="6.75" customHeight="1" x14ac:dyDescent="0.25"/>
    <row r="20" spans="1:18" s="17" customFormat="1" ht="29.25" customHeight="1" x14ac:dyDescent="0.25">
      <c r="A20" s="12" t="s">
        <v>2</v>
      </c>
      <c r="B20" s="12"/>
      <c r="C20" s="12"/>
      <c r="D20" s="12"/>
      <c r="E20" s="12"/>
      <c r="F20" s="12"/>
      <c r="G20" s="12"/>
      <c r="H20" s="12"/>
      <c r="I20" s="12"/>
      <c r="J20" s="12"/>
      <c r="K20" s="12"/>
      <c r="L20" s="12"/>
      <c r="M20" s="12"/>
      <c r="N20" s="12"/>
      <c r="O20" s="12"/>
      <c r="P20" s="12"/>
      <c r="Q20" s="12"/>
      <c r="R20" s="12"/>
    </row>
    <row r="21" spans="1:18" s="17" customFormat="1" ht="9" customHeight="1" x14ac:dyDescent="0.25"/>
    <row r="22" spans="1:18" s="17" customFormat="1" ht="21.75" customHeight="1" x14ac:dyDescent="0.25">
      <c r="A22" s="18" t="s">
        <v>3</v>
      </c>
    </row>
    <row r="23" spans="1:18" s="17" customFormat="1" ht="32.25" customHeight="1" x14ac:dyDescent="0.25">
      <c r="A23" s="12" t="s">
        <v>4</v>
      </c>
      <c r="B23" s="12"/>
      <c r="C23" s="12"/>
      <c r="D23" s="12"/>
      <c r="E23" s="12"/>
      <c r="F23" s="12"/>
      <c r="G23" s="12"/>
      <c r="H23" s="12"/>
      <c r="I23" s="12"/>
      <c r="J23" s="12"/>
      <c r="K23" s="12"/>
      <c r="L23" s="12"/>
      <c r="M23" s="12"/>
      <c r="N23" s="12"/>
      <c r="O23" s="12"/>
      <c r="P23" s="12"/>
      <c r="Q23" s="12"/>
      <c r="R23" s="12"/>
    </row>
    <row r="24" spans="1:18" s="17" customFormat="1" ht="33.75" customHeight="1" x14ac:dyDescent="0.25">
      <c r="A24" s="12" t="s">
        <v>5</v>
      </c>
      <c r="B24" s="12"/>
      <c r="C24" s="12"/>
      <c r="D24" s="12"/>
      <c r="E24" s="12"/>
      <c r="F24" s="12"/>
      <c r="G24" s="12"/>
      <c r="H24" s="12"/>
      <c r="I24" s="12"/>
      <c r="J24" s="12"/>
      <c r="K24" s="12"/>
      <c r="L24" s="12"/>
      <c r="M24" s="12"/>
      <c r="N24" s="12"/>
      <c r="O24" s="12"/>
      <c r="P24" s="12"/>
      <c r="Q24" s="12"/>
      <c r="R24" s="12"/>
    </row>
    <row r="25" spans="1:18" s="17" customFormat="1" ht="63" customHeight="1" x14ac:dyDescent="0.25">
      <c r="A25" s="12" t="s">
        <v>6</v>
      </c>
      <c r="B25" s="12"/>
      <c r="C25" s="12"/>
      <c r="D25" s="12"/>
      <c r="E25" s="12"/>
      <c r="F25" s="12"/>
      <c r="G25" s="12"/>
      <c r="H25" s="12"/>
      <c r="I25" s="12"/>
      <c r="J25" s="12"/>
      <c r="K25" s="12"/>
      <c r="L25" s="12"/>
      <c r="M25" s="12"/>
      <c r="N25" s="12"/>
      <c r="O25" s="12"/>
      <c r="P25" s="12"/>
      <c r="Q25" s="12"/>
      <c r="R25" s="12"/>
    </row>
    <row r="26" spans="1:18" s="17" customFormat="1" ht="15" customHeight="1" x14ac:dyDescent="0.25">
      <c r="A26" s="12" t="s">
        <v>7</v>
      </c>
      <c r="B26" s="12"/>
      <c r="C26" s="12"/>
      <c r="D26" s="12"/>
      <c r="E26" s="12"/>
      <c r="F26" s="12"/>
      <c r="G26" s="12"/>
      <c r="H26" s="12"/>
      <c r="I26" s="12"/>
      <c r="J26" s="12"/>
      <c r="K26" s="12"/>
      <c r="L26" s="12"/>
      <c r="M26" s="12"/>
      <c r="N26" s="12"/>
      <c r="O26" s="12"/>
      <c r="P26" s="12"/>
      <c r="Q26" s="12"/>
      <c r="R26" s="12"/>
    </row>
    <row r="27" spans="1:18" s="17" customFormat="1" ht="80.25" customHeight="1" x14ac:dyDescent="0.25">
      <c r="A27" s="12" t="s">
        <v>8</v>
      </c>
      <c r="B27" s="12"/>
      <c r="C27" s="12"/>
      <c r="D27" s="12"/>
      <c r="E27" s="12"/>
      <c r="F27" s="12"/>
      <c r="G27" s="12"/>
      <c r="H27" s="12"/>
      <c r="I27" s="12"/>
      <c r="J27" s="12"/>
      <c r="K27" s="12"/>
      <c r="L27" s="12"/>
      <c r="M27" s="12"/>
      <c r="N27" s="12"/>
      <c r="O27" s="12"/>
      <c r="P27" s="12"/>
      <c r="Q27" s="12"/>
      <c r="R27" s="12"/>
    </row>
    <row r="28" spans="1:18" s="17" customFormat="1" ht="32.25" customHeight="1" x14ac:dyDescent="0.25">
      <c r="A28" s="12" t="s">
        <v>9</v>
      </c>
      <c r="B28" s="12"/>
      <c r="C28" s="12"/>
      <c r="D28" s="12"/>
      <c r="E28" s="12"/>
      <c r="F28" s="12"/>
      <c r="G28" s="12"/>
      <c r="H28" s="12"/>
      <c r="I28" s="12"/>
      <c r="J28" s="12"/>
      <c r="K28" s="12"/>
      <c r="L28" s="12"/>
      <c r="M28" s="12"/>
      <c r="N28" s="12"/>
      <c r="O28" s="12"/>
      <c r="P28" s="12"/>
      <c r="Q28" s="12"/>
      <c r="R28" s="12"/>
    </row>
    <row r="29" spans="1:18" s="17" customFormat="1" x14ac:dyDescent="0.25"/>
    <row r="30" spans="1:18" s="17" customFormat="1" ht="23.25" customHeight="1" x14ac:dyDescent="0.25"/>
    <row r="31" spans="1:18" s="17" customFormat="1" ht="21.75" customHeight="1" x14ac:dyDescent="0.25">
      <c r="A31" s="18" t="s">
        <v>10</v>
      </c>
      <c r="B31" s="19"/>
      <c r="C31" s="19"/>
      <c r="D31" s="19"/>
      <c r="E31" s="19"/>
      <c r="F31" s="19"/>
      <c r="G31" s="19"/>
      <c r="H31" s="19"/>
      <c r="I31" s="19"/>
      <c r="J31" s="19"/>
      <c r="K31" s="19"/>
      <c r="L31" s="19"/>
      <c r="M31" s="19"/>
      <c r="N31" s="19"/>
      <c r="O31" s="19"/>
      <c r="P31" s="19"/>
      <c r="Q31" s="19"/>
      <c r="R31" s="19"/>
    </row>
    <row r="32" spans="1:18" s="17" customFormat="1" ht="30.75" customHeight="1" x14ac:dyDescent="0.25">
      <c r="A32" s="12" t="s">
        <v>11</v>
      </c>
      <c r="B32" s="12"/>
      <c r="C32" s="12"/>
      <c r="D32" s="12"/>
      <c r="E32" s="12"/>
      <c r="F32" s="12"/>
      <c r="G32" s="12"/>
      <c r="H32" s="12"/>
      <c r="I32" s="12"/>
      <c r="J32" s="12"/>
      <c r="K32" s="12"/>
      <c r="L32" s="12"/>
      <c r="M32" s="12"/>
      <c r="N32" s="12"/>
      <c r="O32" s="12"/>
      <c r="P32" s="12"/>
      <c r="Q32" s="12"/>
      <c r="R32" s="12"/>
    </row>
    <row r="33" spans="1:18" s="17" customFormat="1" ht="47.25" customHeight="1" x14ac:dyDescent="0.25">
      <c r="A33" s="12" t="s">
        <v>12</v>
      </c>
      <c r="B33" s="12"/>
      <c r="C33" s="12"/>
      <c r="D33" s="12"/>
      <c r="E33" s="12"/>
      <c r="F33" s="12"/>
      <c r="G33" s="12"/>
      <c r="H33" s="12"/>
      <c r="I33" s="12"/>
      <c r="J33" s="12"/>
      <c r="K33" s="12"/>
      <c r="L33" s="12"/>
      <c r="M33" s="12"/>
      <c r="N33" s="12"/>
      <c r="O33" s="12"/>
      <c r="P33" s="12"/>
      <c r="Q33" s="12"/>
      <c r="R33" s="12"/>
    </row>
    <row r="34" spans="1:18" s="17" customFormat="1" ht="31.5" customHeight="1" x14ac:dyDescent="0.25">
      <c r="A34" s="12" t="s">
        <v>13</v>
      </c>
      <c r="B34" s="12"/>
      <c r="C34" s="12"/>
      <c r="D34" s="12"/>
      <c r="E34" s="12"/>
      <c r="F34" s="12"/>
      <c r="G34" s="12"/>
      <c r="H34" s="12"/>
      <c r="I34" s="12"/>
      <c r="J34" s="12"/>
      <c r="K34" s="12"/>
      <c r="L34" s="12"/>
      <c r="M34" s="12"/>
      <c r="N34" s="12"/>
      <c r="O34" s="12"/>
      <c r="P34" s="12"/>
      <c r="Q34" s="12"/>
      <c r="R34" s="12"/>
    </row>
    <row r="35" spans="1:18" ht="32.25" customHeight="1" x14ac:dyDescent="0.25">
      <c r="A35" s="12" t="s">
        <v>14</v>
      </c>
      <c r="B35" s="12"/>
      <c r="C35" s="12"/>
      <c r="D35" s="12"/>
      <c r="E35" s="12"/>
      <c r="F35" s="12"/>
      <c r="G35" s="12"/>
      <c r="H35" s="12"/>
      <c r="I35" s="12"/>
      <c r="J35" s="12"/>
      <c r="K35" s="12"/>
      <c r="L35" s="12"/>
      <c r="M35" s="12"/>
      <c r="N35" s="12"/>
      <c r="O35" s="12"/>
      <c r="P35" s="12"/>
      <c r="Q35" s="12"/>
      <c r="R35" s="12"/>
    </row>
    <row r="36" spans="1:18" x14ac:dyDescent="0.25">
      <c r="A36" s="12"/>
      <c r="B36" s="12"/>
      <c r="C36" s="12"/>
      <c r="D36" s="12"/>
      <c r="E36" s="12"/>
      <c r="F36" s="12"/>
      <c r="G36" s="12"/>
      <c r="H36" s="12"/>
      <c r="I36" s="12"/>
      <c r="J36" s="12"/>
      <c r="K36" s="12"/>
      <c r="L36" s="12"/>
      <c r="M36" s="12"/>
      <c r="N36" s="12"/>
      <c r="O36" s="12"/>
      <c r="P36" s="12"/>
      <c r="Q36" s="12"/>
      <c r="R36" s="12"/>
    </row>
    <row r="37" spans="1:18" x14ac:dyDescent="0.25">
      <c r="A37" s="20"/>
    </row>
    <row r="38" spans="1:18" ht="15" customHeight="1" x14ac:dyDescent="0.25">
      <c r="A38" s="12" t="s">
        <v>15</v>
      </c>
      <c r="B38" s="12"/>
      <c r="C38" s="12"/>
      <c r="D38" s="12"/>
      <c r="E38" s="12"/>
      <c r="F38" s="12"/>
      <c r="G38" s="12"/>
      <c r="H38" s="12"/>
      <c r="I38" s="12"/>
      <c r="J38" s="12"/>
      <c r="K38" s="12"/>
      <c r="L38" s="12"/>
      <c r="M38" s="12"/>
      <c r="N38" s="12"/>
      <c r="O38" s="12"/>
      <c r="P38" s="12"/>
      <c r="Q38" s="12"/>
      <c r="R38" s="12"/>
    </row>
    <row r="40" spans="1:18" ht="24.75" customHeight="1" x14ac:dyDescent="0.25">
      <c r="A40" s="18" t="s">
        <v>16</v>
      </c>
    </row>
    <row r="41" spans="1:18" ht="79.5" customHeight="1" x14ac:dyDescent="0.25">
      <c r="A41" s="11" t="s">
        <v>17</v>
      </c>
      <c r="B41" s="11"/>
      <c r="C41" s="11"/>
      <c r="D41" s="11"/>
      <c r="E41" s="11"/>
      <c r="F41" s="11"/>
      <c r="G41" s="11"/>
      <c r="H41" s="11"/>
      <c r="I41" s="11"/>
      <c r="J41" s="11"/>
      <c r="K41" s="11"/>
      <c r="L41" s="11"/>
      <c r="M41" s="11"/>
      <c r="N41" s="11"/>
      <c r="O41" s="11"/>
      <c r="P41" s="11"/>
      <c r="Q41" s="11"/>
      <c r="R41" s="11"/>
    </row>
    <row r="42" spans="1:18" ht="5.25" customHeight="1" x14ac:dyDescent="0.25"/>
    <row r="43" spans="1:18" ht="51.75" customHeight="1" x14ac:dyDescent="0.25">
      <c r="A43" s="11" t="s">
        <v>18</v>
      </c>
      <c r="B43" s="11"/>
      <c r="C43" s="11"/>
      <c r="D43" s="11"/>
      <c r="E43" s="11"/>
      <c r="F43" s="11"/>
      <c r="G43" s="11"/>
      <c r="H43" s="11"/>
      <c r="I43" s="11"/>
      <c r="J43" s="11"/>
      <c r="K43" s="11"/>
      <c r="L43" s="11"/>
      <c r="M43" s="11"/>
      <c r="N43" s="11"/>
      <c r="O43" s="11"/>
      <c r="P43" s="11"/>
      <c r="Q43" s="11"/>
      <c r="R43" s="11"/>
    </row>
    <row r="44" spans="1:18" ht="5.25" customHeight="1" x14ac:dyDescent="0.25">
      <c r="A44" s="21"/>
    </row>
    <row r="45" spans="1:18" ht="153.75" customHeight="1" x14ac:dyDescent="0.25">
      <c r="A45" s="11" t="s">
        <v>19</v>
      </c>
      <c r="B45" s="11"/>
      <c r="C45" s="11"/>
      <c r="D45" s="11"/>
      <c r="E45" s="11"/>
      <c r="F45" s="11"/>
      <c r="G45" s="11"/>
      <c r="H45" s="11"/>
      <c r="I45" s="11"/>
      <c r="J45" s="11"/>
      <c r="K45" s="11"/>
      <c r="L45" s="11"/>
      <c r="M45" s="11"/>
      <c r="N45" s="11"/>
      <c r="O45" s="11"/>
      <c r="P45" s="11"/>
      <c r="Q45" s="11"/>
      <c r="R45" s="11"/>
    </row>
    <row r="46" spans="1:18" ht="5.25" customHeight="1" x14ac:dyDescent="0.25">
      <c r="A46" s="22"/>
    </row>
    <row r="47" spans="1:18" ht="15.75" x14ac:dyDescent="0.25">
      <c r="A47" s="23" t="s">
        <v>20</v>
      </c>
    </row>
    <row r="48" spans="1:18" ht="5.25" customHeight="1" x14ac:dyDescent="0.25">
      <c r="A48" s="22"/>
    </row>
    <row r="49" spans="1:12" x14ac:dyDescent="0.25">
      <c r="A49" s="24" t="s">
        <v>21</v>
      </c>
      <c r="B49" s="21"/>
      <c r="C49" s="21"/>
      <c r="D49" s="21"/>
      <c r="E49" s="21"/>
      <c r="H49" s="24" t="s">
        <v>22</v>
      </c>
      <c r="I49" s="21"/>
    </row>
    <row r="50" spans="1:12" x14ac:dyDescent="0.25">
      <c r="A50" s="25" t="s">
        <v>23</v>
      </c>
      <c r="B50" s="25">
        <v>0</v>
      </c>
      <c r="C50" s="25">
        <v>1</v>
      </c>
      <c r="D50" s="25">
        <v>2</v>
      </c>
      <c r="E50" s="25" t="s">
        <v>24</v>
      </c>
      <c r="H50" s="25" t="s">
        <v>25</v>
      </c>
      <c r="I50" s="26">
        <f>Ressources!F16</f>
        <v>903.2</v>
      </c>
    </row>
    <row r="51" spans="1:12" x14ac:dyDescent="0.25">
      <c r="A51" s="25" t="s">
        <v>489</v>
      </c>
      <c r="B51" s="26">
        <v>665</v>
      </c>
      <c r="C51" s="26">
        <v>831</v>
      </c>
      <c r="D51" s="26">
        <v>1041</v>
      </c>
      <c r="E51" s="26">
        <v>242</v>
      </c>
      <c r="H51" s="25" t="s">
        <v>26</v>
      </c>
      <c r="I51" s="26">
        <f>Ressources!F17</f>
        <v>1402.22</v>
      </c>
    </row>
    <row r="52" spans="1:12" ht="5.25" customHeight="1" x14ac:dyDescent="0.25">
      <c r="A52" s="21"/>
      <c r="B52" s="21"/>
      <c r="C52" s="21"/>
      <c r="D52" s="21"/>
      <c r="E52" s="21"/>
      <c r="F52" s="21"/>
    </row>
    <row r="53" spans="1:12" x14ac:dyDescent="0.25">
      <c r="A53" s="24" t="s">
        <v>27</v>
      </c>
      <c r="B53" s="21"/>
      <c r="C53" s="21"/>
      <c r="D53" s="27"/>
      <c r="E53" s="21"/>
      <c r="F53" s="21"/>
      <c r="H53" s="24" t="s">
        <v>28</v>
      </c>
      <c r="I53" s="21"/>
      <c r="J53" s="21"/>
      <c r="K53" s="21"/>
      <c r="L53" s="21"/>
    </row>
    <row r="54" spans="1:12" x14ac:dyDescent="0.25">
      <c r="A54" s="25" t="s">
        <v>23</v>
      </c>
      <c r="B54" s="25">
        <v>0</v>
      </c>
      <c r="C54" s="25">
        <v>1</v>
      </c>
      <c r="D54" s="25">
        <v>2</v>
      </c>
      <c r="E54" s="25">
        <v>3</v>
      </c>
      <c r="F54" s="25" t="s">
        <v>29</v>
      </c>
      <c r="H54" s="25" t="s">
        <v>23</v>
      </c>
      <c r="I54" s="25">
        <v>2</v>
      </c>
      <c r="J54" s="25">
        <v>3</v>
      </c>
      <c r="K54" s="25">
        <v>4</v>
      </c>
      <c r="L54" s="25" t="s">
        <v>30</v>
      </c>
    </row>
    <row r="55" spans="1:12" x14ac:dyDescent="0.25">
      <c r="A55" s="25" t="s">
        <v>487</v>
      </c>
      <c r="B55" s="26">
        <v>497</v>
      </c>
      <c r="C55" s="26">
        <v>712</v>
      </c>
      <c r="D55" s="26">
        <v>849</v>
      </c>
      <c r="E55" s="26">
        <v>1075</v>
      </c>
      <c r="F55" s="26">
        <v>226</v>
      </c>
      <c r="H55" s="25" t="s">
        <v>31</v>
      </c>
      <c r="I55" s="26">
        <f>Ressources!F12</f>
        <v>131.55000000000001</v>
      </c>
      <c r="J55" s="26">
        <f>Ressources!G12</f>
        <v>300.10000000000002</v>
      </c>
      <c r="K55" s="26">
        <f>Ressources!H12</f>
        <v>468.66</v>
      </c>
      <c r="L55" s="26">
        <f>Ressources!I12</f>
        <v>168.56</v>
      </c>
    </row>
    <row r="56" spans="1:12" ht="30" x14ac:dyDescent="0.25">
      <c r="A56" s="25" t="s">
        <v>488</v>
      </c>
      <c r="B56" s="26">
        <v>712</v>
      </c>
      <c r="C56" s="26">
        <v>849</v>
      </c>
      <c r="D56" s="26">
        <v>1018</v>
      </c>
      <c r="E56" s="26">
        <v>1244</v>
      </c>
      <c r="F56" s="26">
        <v>226</v>
      </c>
      <c r="H56" s="28" t="s">
        <v>32</v>
      </c>
      <c r="I56" s="26">
        <f>Ressources!F13</f>
        <v>65.78</v>
      </c>
      <c r="J56" s="26">
        <f>Ressources!G13</f>
        <v>65.78</v>
      </c>
      <c r="K56" s="26">
        <f>Ressources!H13</f>
        <v>65.78</v>
      </c>
      <c r="L56" s="26">
        <f>Ressources!I13</f>
        <v>65.78</v>
      </c>
    </row>
    <row r="57" spans="1:12" ht="5.25" customHeight="1" x14ac:dyDescent="0.25">
      <c r="F57" s="21"/>
    </row>
    <row r="58" spans="1:12" x14ac:dyDescent="0.25">
      <c r="A58" s="24" t="s">
        <v>33</v>
      </c>
      <c r="H58" s="24" t="s">
        <v>34</v>
      </c>
      <c r="J58" s="29"/>
    </row>
    <row r="59" spans="1:12" x14ac:dyDescent="0.25">
      <c r="A59" s="30"/>
      <c r="B59" s="10" t="str">
        <f>'Cheque Energie'!B6:E6</f>
        <v>RFR 2018 par UC &lt; à :</v>
      </c>
      <c r="C59" s="10"/>
      <c r="D59" s="10"/>
      <c r="E59" s="10"/>
      <c r="H59" s="25" t="s">
        <v>25</v>
      </c>
      <c r="I59" s="26">
        <v>902.7</v>
      </c>
    </row>
    <row r="60" spans="1:12" x14ac:dyDescent="0.25">
      <c r="A60" s="31" t="s">
        <v>35</v>
      </c>
      <c r="B60" s="32">
        <f>'Cheque Energie'!B7</f>
        <v>5600</v>
      </c>
      <c r="C60" s="32">
        <f>'Cheque Energie'!C7</f>
        <v>6700</v>
      </c>
      <c r="D60" s="32">
        <f>'Cheque Energie'!D7</f>
        <v>7700</v>
      </c>
      <c r="E60" s="32">
        <f>'Cheque Energie'!E7</f>
        <v>10700</v>
      </c>
    </row>
    <row r="61" spans="1:12" x14ac:dyDescent="0.25">
      <c r="A61" s="31" t="s">
        <v>36</v>
      </c>
      <c r="B61" s="32">
        <f>'Cheque Energie'!B8</f>
        <v>194</v>
      </c>
      <c r="C61" s="32">
        <f>'Cheque Energie'!C8</f>
        <v>146</v>
      </c>
      <c r="D61" s="32">
        <f>'Cheque Energie'!D8</f>
        <v>98</v>
      </c>
      <c r="E61" s="32">
        <f>'Cheque Energie'!E8</f>
        <v>48</v>
      </c>
    </row>
    <row r="62" spans="1:12" x14ac:dyDescent="0.25">
      <c r="A62" s="31" t="s">
        <v>37</v>
      </c>
      <c r="B62" s="32">
        <f>'Cheque Energie'!B9</f>
        <v>240</v>
      </c>
      <c r="C62" s="32">
        <f>'Cheque Energie'!C9</f>
        <v>176</v>
      </c>
      <c r="D62" s="32">
        <f>'Cheque Energie'!D9</f>
        <v>113</v>
      </c>
      <c r="E62" s="32">
        <f>'Cheque Energie'!E9</f>
        <v>63</v>
      </c>
    </row>
    <row r="63" spans="1:12" x14ac:dyDescent="0.25">
      <c r="A63" s="31" t="s">
        <v>38</v>
      </c>
      <c r="B63" s="32">
        <f>'Cheque Energie'!B10</f>
        <v>277</v>
      </c>
      <c r="C63" s="32">
        <f>'Cheque Energie'!C10</f>
        <v>202</v>
      </c>
      <c r="D63" s="32">
        <f>'Cheque Energie'!D10</f>
        <v>126</v>
      </c>
      <c r="E63" s="32">
        <f>'Cheque Energie'!E10</f>
        <v>76</v>
      </c>
    </row>
    <row r="64" spans="1:12" x14ac:dyDescent="0.25">
      <c r="A64" s="30" t="s">
        <v>39</v>
      </c>
      <c r="B64" s="30"/>
      <c r="C64" s="30"/>
      <c r="D64" s="30"/>
      <c r="E64" s="30"/>
    </row>
  </sheetData>
  <sheetProtection algorithmName="SHA-512" hashValue="CXnhKS0543PnO7zYgohExZuwLJ7dxfV4zShiTBM+ATE05V1ByWORtF2WNjaQrp/L4aQe73352OpJQtoxJ9aJOg==" saltValue="G9XUJp+prfF4JMBkJVGWIw==" spinCount="100000" sheet="1" objects="1" scenarios="1"/>
  <mergeCells count="19">
    <mergeCell ref="A41:R41"/>
    <mergeCell ref="A43:R43"/>
    <mergeCell ref="A45:R45"/>
    <mergeCell ref="B59:E59"/>
    <mergeCell ref="A33:R33"/>
    <mergeCell ref="A34:R34"/>
    <mergeCell ref="A35:R35"/>
    <mergeCell ref="A36:R36"/>
    <mergeCell ref="A38:R38"/>
    <mergeCell ref="A25:R25"/>
    <mergeCell ref="A26:R26"/>
    <mergeCell ref="A27:R27"/>
    <mergeCell ref="A28:R28"/>
    <mergeCell ref="A32:R32"/>
    <mergeCell ref="D2:M3"/>
    <mergeCell ref="A7:R14"/>
    <mergeCell ref="A20:R20"/>
    <mergeCell ref="A23:R23"/>
    <mergeCell ref="A24:R24"/>
  </mergeCells>
  <hyperlinks>
    <hyperlink ref="A49" r:id="rId1"/>
    <hyperlink ref="H49" r:id="rId2"/>
    <hyperlink ref="A53" r:id="rId3"/>
    <hyperlink ref="H53" r:id="rId4"/>
    <hyperlink ref="A58" r:id="rId5"/>
    <hyperlink ref="H58" r:id="rId6"/>
  </hyperlinks>
  <pageMargins left="0.7" right="0.7" top="0.75" bottom="0.75" header="0.51180555555555496" footer="0.51180555555555496"/>
  <pageSetup paperSize="9" firstPageNumber="0" orientation="portrait" horizontalDpi="300" verticalDpi="300"/>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MK31"/>
  <sheetViews>
    <sheetView showGridLines="0" zoomScale="75" zoomScaleNormal="75" workbookViewId="0">
      <selection activeCell="A8" sqref="A8"/>
    </sheetView>
  </sheetViews>
  <sheetFormatPr baseColWidth="10" defaultColWidth="9.140625" defaultRowHeight="15" x14ac:dyDescent="0.25"/>
  <cols>
    <col min="1" max="1" width="37.85546875" style="30" customWidth="1"/>
    <col min="2" max="3" width="20.28515625" style="30" customWidth="1"/>
    <col min="4" max="1025" width="11.42578125" style="30"/>
  </cols>
  <sheetData>
    <row r="3" spans="1:4" ht="15.75" customHeight="1" x14ac:dyDescent="0.25">
      <c r="A3" s="317" t="s">
        <v>464</v>
      </c>
      <c r="B3" s="317"/>
      <c r="C3" s="317"/>
      <c r="D3" s="249" t="s">
        <v>465</v>
      </c>
    </row>
    <row r="4" spans="1:4" x14ac:dyDescent="0.25">
      <c r="A4" s="257"/>
      <c r="B4" s="318" t="s">
        <v>466</v>
      </c>
      <c r="C4" s="318"/>
    </row>
    <row r="5" spans="1:4" s="159" customFormat="1" ht="30" x14ac:dyDescent="0.25">
      <c r="A5" s="259" t="s">
        <v>467</v>
      </c>
      <c r="B5" s="259" t="s">
        <v>180</v>
      </c>
      <c r="C5" s="259" t="s">
        <v>468</v>
      </c>
    </row>
    <row r="6" spans="1:4" x14ac:dyDescent="0.25">
      <c r="A6" s="257">
        <v>3</v>
      </c>
      <c r="B6" s="260">
        <v>97.68</v>
      </c>
      <c r="C6" s="260">
        <v>0.1525</v>
      </c>
    </row>
    <row r="7" spans="1:4" x14ac:dyDescent="0.25">
      <c r="A7" s="257">
        <v>6</v>
      </c>
      <c r="B7" s="260">
        <v>119.76</v>
      </c>
      <c r="C7" s="260">
        <v>0.1525</v>
      </c>
    </row>
    <row r="8" spans="1:4" x14ac:dyDescent="0.25">
      <c r="A8" s="257">
        <v>9</v>
      </c>
      <c r="B8" s="260">
        <v>142.08000000000001</v>
      </c>
      <c r="C8" s="260">
        <v>0.15570000000000001</v>
      </c>
    </row>
    <row r="9" spans="1:4" x14ac:dyDescent="0.25">
      <c r="A9" s="257">
        <v>12</v>
      </c>
      <c r="B9" s="260">
        <v>164.76</v>
      </c>
      <c r="C9" s="260">
        <v>0.15570000000000001</v>
      </c>
    </row>
    <row r="10" spans="1:4" x14ac:dyDescent="0.25">
      <c r="A10" s="257">
        <v>15</v>
      </c>
      <c r="B10" s="260">
        <v>185.88</v>
      </c>
      <c r="C10" s="260">
        <v>0.15570000000000001</v>
      </c>
    </row>
    <row r="11" spans="1:4" x14ac:dyDescent="0.25">
      <c r="A11" s="261"/>
      <c r="B11" s="261"/>
      <c r="C11" s="261"/>
    </row>
    <row r="13" spans="1:4" x14ac:dyDescent="0.25">
      <c r="A13" s="317" t="s">
        <v>469</v>
      </c>
      <c r="B13" s="317"/>
      <c r="C13" s="317"/>
      <c r="D13" s="249" t="s">
        <v>470</v>
      </c>
    </row>
    <row r="14" spans="1:4" x14ac:dyDescent="0.25">
      <c r="A14" s="257"/>
      <c r="B14" s="319"/>
      <c r="C14" s="319"/>
    </row>
    <row r="15" spans="1:4" s="159" customFormat="1" ht="30" x14ac:dyDescent="0.25">
      <c r="A15" s="262" t="s">
        <v>471</v>
      </c>
      <c r="B15" s="259" t="s">
        <v>180</v>
      </c>
      <c r="C15" s="259" t="s">
        <v>468</v>
      </c>
    </row>
    <row r="16" spans="1:4" x14ac:dyDescent="0.25">
      <c r="A16" s="258" t="s">
        <v>472</v>
      </c>
      <c r="B16" s="260">
        <v>108</v>
      </c>
      <c r="C16" s="260">
        <v>7.8899999999999998E-2</v>
      </c>
    </row>
    <row r="17" spans="1:3" x14ac:dyDescent="0.25">
      <c r="A17" s="263" t="s">
        <v>473</v>
      </c>
      <c r="B17" s="260">
        <v>108</v>
      </c>
      <c r="C17" s="260">
        <v>7.8899999999999998E-2</v>
      </c>
    </row>
    <row r="18" spans="1:3" x14ac:dyDescent="0.25">
      <c r="A18" s="258" t="s">
        <v>474</v>
      </c>
      <c r="B18" s="260">
        <v>249.12</v>
      </c>
      <c r="C18" s="260">
        <v>5.5300000000000002E-2</v>
      </c>
    </row>
    <row r="21" spans="1:3" x14ac:dyDescent="0.25">
      <c r="A21" s="264" t="s">
        <v>475</v>
      </c>
      <c r="C21" s="249" t="s">
        <v>476</v>
      </c>
    </row>
    <row r="22" spans="1:3" x14ac:dyDescent="0.25">
      <c r="A22" s="257" t="s">
        <v>477</v>
      </c>
      <c r="B22" s="257" t="s">
        <v>478</v>
      </c>
    </row>
    <row r="23" spans="1:3" x14ac:dyDescent="0.25">
      <c r="A23" s="257" t="s">
        <v>426</v>
      </c>
      <c r="B23" s="260">
        <v>4.4999999999999998E-2</v>
      </c>
    </row>
    <row r="24" spans="1:3" x14ac:dyDescent="0.25">
      <c r="A24" s="257" t="s">
        <v>429</v>
      </c>
      <c r="B24" s="260">
        <v>7.3999999999999996E-2</v>
      </c>
    </row>
    <row r="25" spans="1:3" x14ac:dyDescent="0.25">
      <c r="A25" s="257" t="s">
        <v>258</v>
      </c>
      <c r="B25" s="260">
        <v>0.10199999999999999</v>
      </c>
    </row>
    <row r="26" spans="1:3" x14ac:dyDescent="0.25">
      <c r="A26" s="257" t="s">
        <v>479</v>
      </c>
      <c r="B26" s="260">
        <v>0.20499999999999999</v>
      </c>
    </row>
    <row r="31" spans="1:3" ht="30" customHeight="1" x14ac:dyDescent="0.25"/>
  </sheetData>
  <mergeCells count="4">
    <mergeCell ref="A3:C3"/>
    <mergeCell ref="B4:C4"/>
    <mergeCell ref="A13:C13"/>
    <mergeCell ref="B14:C14"/>
  </mergeCells>
  <hyperlinks>
    <hyperlink ref="D3" r:id="rId1"/>
    <hyperlink ref="D13" r:id="rId2"/>
    <hyperlink ref="C21" r:id="rId3"/>
  </hyperlinks>
  <pageMargins left="0.7" right="0.7" top="0.75" bottom="0.75"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75" zoomScaleNormal="75" workbookViewId="0">
      <selection activeCell="J14" sqref="J14"/>
    </sheetView>
  </sheetViews>
  <sheetFormatPr baseColWidth="10" defaultColWidth="9.140625" defaultRowHeight="15" x14ac:dyDescent="0.25"/>
  <cols>
    <col min="1" max="1025" width="10.7109375" customWidth="1"/>
  </cols>
  <sheetData>
    <row r="1" spans="1:1" x14ac:dyDescent="0.25">
      <c r="A1" s="265" t="s">
        <v>480</v>
      </c>
    </row>
    <row r="2" spans="1:1" x14ac:dyDescent="0.25">
      <c r="A2" s="266" t="s">
        <v>481</v>
      </c>
    </row>
    <row r="4" spans="1:1" x14ac:dyDescent="0.25">
      <c r="A4" s="265" t="s">
        <v>482</v>
      </c>
    </row>
    <row r="5" spans="1:1" x14ac:dyDescent="0.25">
      <c r="A5" s="29" t="s">
        <v>483</v>
      </c>
    </row>
    <row r="7" spans="1:1" x14ac:dyDescent="0.25">
      <c r="A7" s="265" t="s">
        <v>484</v>
      </c>
    </row>
    <row r="8" spans="1:1" x14ac:dyDescent="0.25">
      <c r="A8" s="29" t="s">
        <v>485</v>
      </c>
    </row>
    <row r="9" spans="1:1" x14ac:dyDescent="0.25">
      <c r="A9" t="s">
        <v>486</v>
      </c>
    </row>
  </sheetData>
  <hyperlinks>
    <hyperlink ref="A5" r:id="rId1"/>
    <hyperlink ref="A8" r:id="rId2"/>
  </hyperlink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pageSetUpPr fitToPage="1"/>
  </sheetPr>
  <dimension ref="A1:AMK47"/>
  <sheetViews>
    <sheetView showGridLines="0" topLeftCell="F1" zoomScale="75" zoomScaleNormal="75" workbookViewId="0">
      <selection activeCell="R13" sqref="R13"/>
    </sheetView>
  </sheetViews>
  <sheetFormatPr baseColWidth="10" defaultColWidth="9.140625" defaultRowHeight="15" x14ac:dyDescent="0.25"/>
  <cols>
    <col min="1" max="1" width="14.140625" style="33" customWidth="1"/>
    <col min="2" max="2" width="17.5703125" style="33" customWidth="1"/>
    <col min="3" max="3" width="11.85546875" style="33" customWidth="1"/>
    <col min="4" max="4" width="28.140625" style="33" customWidth="1"/>
    <col min="5" max="5" width="18.7109375" style="33" customWidth="1"/>
    <col min="6" max="6" width="22" style="33" customWidth="1"/>
    <col min="7" max="7" width="16.140625" style="33" customWidth="1"/>
    <col min="8" max="9" width="10.5703125" style="33" customWidth="1"/>
    <col min="10" max="10" width="10.28515625" style="33" customWidth="1"/>
    <col min="11" max="13" width="12" style="33" customWidth="1"/>
    <col min="14" max="14" width="12.5703125" style="33" customWidth="1"/>
    <col min="15" max="15" width="12" style="33" customWidth="1"/>
    <col min="16" max="17" width="18.5703125" style="33" customWidth="1"/>
    <col min="18" max="21" width="12" style="33" customWidth="1"/>
    <col min="22" max="1025" width="11.42578125" style="33"/>
  </cols>
  <sheetData>
    <row r="1" spans="1:21" ht="32.1" customHeight="1" x14ac:dyDescent="0.25">
      <c r="A1" s="9" t="s">
        <v>40</v>
      </c>
      <c r="B1" s="9"/>
      <c r="C1" s="9"/>
      <c r="D1" s="9"/>
      <c r="E1" s="9"/>
      <c r="F1" s="9"/>
      <c r="G1" s="9"/>
      <c r="H1" s="9"/>
      <c r="I1" s="9"/>
      <c r="J1" s="9"/>
      <c r="K1" s="9"/>
      <c r="L1" s="9"/>
      <c r="M1" s="9"/>
      <c r="N1" s="9"/>
      <c r="O1" s="9"/>
      <c r="P1" s="9"/>
      <c r="Q1" s="9"/>
      <c r="R1" s="9"/>
      <c r="S1" s="9"/>
      <c r="T1" s="9"/>
      <c r="U1" s="9"/>
    </row>
    <row r="2" spans="1:21" ht="48.75" customHeight="1" x14ac:dyDescent="0.25">
      <c r="A2" s="8" t="s">
        <v>41</v>
      </c>
      <c r="B2" s="8"/>
      <c r="C2" s="7" t="s">
        <v>42</v>
      </c>
      <c r="D2" s="7"/>
      <c r="E2" s="7"/>
      <c r="F2" s="7"/>
      <c r="G2" s="7"/>
      <c r="H2" s="7"/>
      <c r="I2" s="7"/>
      <c r="J2" s="34"/>
      <c r="K2" s="35"/>
      <c r="L2" s="35"/>
      <c r="M2" s="35"/>
      <c r="N2" s="35"/>
      <c r="O2" s="35"/>
      <c r="P2" s="35"/>
      <c r="Q2" s="35"/>
      <c r="R2" s="35"/>
      <c r="S2" s="35"/>
      <c r="T2" s="35"/>
      <c r="U2" s="36"/>
    </row>
    <row r="3" spans="1:21" ht="30" customHeight="1" x14ac:dyDescent="0.25">
      <c r="A3" s="6" t="s">
        <v>43</v>
      </c>
      <c r="B3" s="6"/>
      <c r="C3" s="5" t="s">
        <v>44</v>
      </c>
      <c r="D3" s="5"/>
      <c r="E3" s="39"/>
      <c r="F3" s="39"/>
      <c r="G3" s="39"/>
      <c r="H3" s="39"/>
      <c r="I3" s="39"/>
      <c r="J3" s="40"/>
      <c r="K3" s="40"/>
      <c r="L3" s="40"/>
      <c r="M3" s="40"/>
      <c r="N3" s="40"/>
      <c r="O3" s="40"/>
      <c r="P3" s="40"/>
      <c r="Q3" s="40"/>
      <c r="R3" s="40"/>
      <c r="S3" s="40"/>
      <c r="T3" s="40"/>
      <c r="U3" s="41"/>
    </row>
    <row r="4" spans="1:21" ht="30" customHeight="1" x14ac:dyDescent="0.25">
      <c r="A4" s="6" t="s">
        <v>45</v>
      </c>
      <c r="B4" s="6"/>
      <c r="C4" s="38" t="s">
        <v>46</v>
      </c>
      <c r="D4" s="42"/>
      <c r="E4" s="35"/>
      <c r="F4" s="35"/>
      <c r="G4" s="35"/>
      <c r="H4" s="35"/>
      <c r="I4" s="35"/>
      <c r="J4" s="35"/>
      <c r="K4" s="35"/>
      <c r="L4" s="35"/>
      <c r="M4" s="35"/>
      <c r="N4" s="35"/>
      <c r="O4" s="35"/>
      <c r="P4" s="35"/>
      <c r="Q4" s="35"/>
      <c r="R4" s="35"/>
      <c r="S4" s="35"/>
      <c r="T4" s="35"/>
      <c r="U4" s="36"/>
    </row>
    <row r="5" spans="1:21" ht="30" customHeight="1" x14ac:dyDescent="0.25">
      <c r="A5" s="6" t="s">
        <v>47</v>
      </c>
      <c r="B5" s="6"/>
      <c r="C5" s="38" t="s">
        <v>48</v>
      </c>
      <c r="D5" s="43"/>
      <c r="E5" s="35"/>
      <c r="F5" s="35"/>
      <c r="G5" s="35"/>
      <c r="H5" s="35"/>
      <c r="I5" s="35"/>
      <c r="J5" s="35"/>
      <c r="K5" s="35"/>
      <c r="L5" s="35"/>
      <c r="M5" s="35"/>
      <c r="N5" s="35"/>
      <c r="O5" s="35"/>
      <c r="P5" s="35"/>
      <c r="Q5" s="39"/>
      <c r="R5" s="35"/>
      <c r="S5" s="35"/>
      <c r="T5" s="35"/>
      <c r="U5" s="36"/>
    </row>
    <row r="6" spans="1:21" ht="15" customHeight="1" x14ac:dyDescent="0.25">
      <c r="A6" s="6" t="s">
        <v>49</v>
      </c>
      <c r="B6" s="6"/>
      <c r="C6" s="5" t="s">
        <v>50</v>
      </c>
      <c r="D6" s="5"/>
      <c r="E6" s="5"/>
      <c r="F6" s="4" t="s">
        <v>51</v>
      </c>
      <c r="G6" s="3">
        <v>5</v>
      </c>
      <c r="H6" s="35"/>
      <c r="I6" s="35"/>
      <c r="J6" s="35"/>
      <c r="K6" s="35"/>
      <c r="L6" s="35"/>
      <c r="M6" s="2" t="s">
        <v>52</v>
      </c>
      <c r="N6" s="2"/>
      <c r="O6" s="35"/>
      <c r="P6" s="1" t="s">
        <v>53</v>
      </c>
      <c r="R6" s="267" t="s">
        <v>54</v>
      </c>
      <c r="S6" s="267"/>
      <c r="T6" s="35"/>
      <c r="U6" s="36"/>
    </row>
    <row r="7" spans="1:21" x14ac:dyDescent="0.25">
      <c r="A7" s="6"/>
      <c r="B7" s="6"/>
      <c r="C7" s="5"/>
      <c r="D7" s="5"/>
      <c r="E7" s="5"/>
      <c r="F7" s="4"/>
      <c r="G7" s="3"/>
      <c r="H7" s="46"/>
      <c r="I7" s="46"/>
      <c r="J7" s="46"/>
      <c r="K7" s="46"/>
      <c r="L7" s="46"/>
      <c r="M7" s="2"/>
      <c r="N7" s="2"/>
      <c r="O7" s="46"/>
      <c r="P7" s="1"/>
      <c r="Q7" s="46"/>
      <c r="R7" s="267"/>
      <c r="S7" s="267"/>
      <c r="T7" s="46"/>
      <c r="U7" s="47"/>
    </row>
    <row r="8" spans="1:21" ht="15" customHeight="1" x14ac:dyDescent="0.25">
      <c r="A8" s="6"/>
      <c r="B8" s="6"/>
      <c r="C8" s="5"/>
      <c r="D8" s="5"/>
      <c r="E8" s="5"/>
      <c r="F8" s="268" t="s">
        <v>55</v>
      </c>
      <c r="G8" s="269" t="s">
        <v>56</v>
      </c>
      <c r="H8" s="46"/>
      <c r="I8" s="46"/>
      <c r="J8" s="46"/>
      <c r="K8" s="46"/>
      <c r="L8" s="46"/>
      <c r="M8" s="2"/>
      <c r="N8" s="2"/>
      <c r="O8" s="46"/>
      <c r="P8" s="1"/>
      <c r="Q8" s="46"/>
      <c r="R8" s="267"/>
      <c r="S8" s="267"/>
      <c r="T8" s="46"/>
      <c r="U8" s="47"/>
    </row>
    <row r="9" spans="1:21" x14ac:dyDescent="0.25">
      <c r="A9" s="6"/>
      <c r="B9" s="6"/>
      <c r="C9" s="5"/>
      <c r="D9" s="5"/>
      <c r="E9" s="5"/>
      <c r="F9" s="268"/>
      <c r="G9" s="269"/>
      <c r="H9" s="40"/>
      <c r="I9" s="40"/>
      <c r="J9" s="40"/>
      <c r="K9" s="40"/>
      <c r="L9" s="40"/>
      <c r="M9" s="2"/>
      <c r="N9" s="2"/>
      <c r="O9" s="40"/>
      <c r="P9" s="1"/>
      <c r="Q9" s="40"/>
      <c r="R9" s="267"/>
      <c r="S9" s="267"/>
      <c r="T9" s="40"/>
      <c r="U9" s="41"/>
    </row>
    <row r="10" spans="1:21" s="50" customFormat="1" ht="30" customHeight="1" x14ac:dyDescent="0.25">
      <c r="A10" s="6" t="s">
        <v>57</v>
      </c>
      <c r="B10" s="6"/>
      <c r="C10" s="5" t="s">
        <v>58</v>
      </c>
      <c r="D10" s="5"/>
      <c r="E10" s="49"/>
      <c r="F10" s="44" t="s">
        <v>59</v>
      </c>
      <c r="G10" s="48" t="s">
        <v>60</v>
      </c>
      <c r="H10" s="40"/>
      <c r="I10" s="40"/>
      <c r="J10" s="46"/>
      <c r="K10" s="46"/>
      <c r="L10" s="46"/>
      <c r="M10" s="46"/>
      <c r="N10" s="46"/>
      <c r="O10" s="46"/>
      <c r="P10" s="46"/>
      <c r="Q10" s="40"/>
      <c r="R10" s="46"/>
      <c r="S10" s="46"/>
      <c r="T10" s="46"/>
      <c r="U10" s="47"/>
    </row>
    <row r="11" spans="1:21" ht="29.25" customHeight="1" x14ac:dyDescent="0.25">
      <c r="A11" s="6" t="s">
        <v>61</v>
      </c>
      <c r="B11" s="6"/>
      <c r="C11" s="6" t="s">
        <v>62</v>
      </c>
      <c r="D11" s="6" t="s">
        <v>63</v>
      </c>
      <c r="E11" s="6" t="s">
        <v>64</v>
      </c>
      <c r="F11" s="270" t="s">
        <v>65</v>
      </c>
      <c r="G11" s="6" t="s">
        <v>66</v>
      </c>
      <c r="H11" s="6" t="s">
        <v>67</v>
      </c>
      <c r="I11" s="6"/>
      <c r="J11" s="4" t="s">
        <v>68</v>
      </c>
      <c r="K11" s="6" t="s">
        <v>69</v>
      </c>
      <c r="L11" s="6"/>
      <c r="M11" s="6"/>
      <c r="N11" s="6"/>
      <c r="O11" s="6"/>
      <c r="P11" s="4" t="s">
        <v>70</v>
      </c>
      <c r="Q11" s="4"/>
      <c r="R11" s="4"/>
      <c r="S11" s="6" t="s">
        <v>71</v>
      </c>
      <c r="T11" s="6" t="s">
        <v>72</v>
      </c>
      <c r="U11" s="6" t="s">
        <v>73</v>
      </c>
    </row>
    <row r="12" spans="1:21" ht="57" customHeight="1" x14ac:dyDescent="0.25">
      <c r="A12" s="6"/>
      <c r="B12" s="6"/>
      <c r="C12" s="6"/>
      <c r="D12" s="6"/>
      <c r="E12" s="6"/>
      <c r="F12" s="6"/>
      <c r="G12" s="6"/>
      <c r="H12" s="37" t="s">
        <v>74</v>
      </c>
      <c r="I12" s="37" t="s">
        <v>75</v>
      </c>
      <c r="J12" s="4"/>
      <c r="K12" s="51" t="s">
        <v>76</v>
      </c>
      <c r="L12" s="51" t="s">
        <v>77</v>
      </c>
      <c r="M12" s="51" t="s">
        <v>78</v>
      </c>
      <c r="N12" s="51" t="s">
        <v>79</v>
      </c>
      <c r="O12" s="51" t="s">
        <v>80</v>
      </c>
      <c r="P12" s="52" t="s">
        <v>81</v>
      </c>
      <c r="Q12" s="53" t="s">
        <v>82</v>
      </c>
      <c r="R12" s="53" t="s">
        <v>83</v>
      </c>
      <c r="S12" s="6"/>
      <c r="T12" s="6"/>
      <c r="U12" s="6"/>
    </row>
    <row r="13" spans="1:21" ht="30" customHeight="1" x14ac:dyDescent="0.25">
      <c r="A13" s="37" t="s">
        <v>84</v>
      </c>
      <c r="B13" s="48" t="s">
        <v>85</v>
      </c>
      <c r="C13" s="54">
        <v>50</v>
      </c>
      <c r="D13" s="55" t="s">
        <v>86</v>
      </c>
      <c r="E13" s="48" t="s">
        <v>87</v>
      </c>
      <c r="F13" s="48" t="s">
        <v>88</v>
      </c>
      <c r="G13" s="48" t="s">
        <v>89</v>
      </c>
      <c r="H13" s="54">
        <v>2</v>
      </c>
      <c r="I13" s="54">
        <v>1</v>
      </c>
      <c r="J13" s="56">
        <v>400</v>
      </c>
      <c r="K13" s="56">
        <v>10</v>
      </c>
      <c r="L13" s="56">
        <v>0</v>
      </c>
      <c r="M13" s="56">
        <v>120</v>
      </c>
      <c r="N13" s="56">
        <v>0</v>
      </c>
      <c r="O13" s="56">
        <v>0</v>
      </c>
      <c r="P13" s="57" t="s">
        <v>21</v>
      </c>
      <c r="Q13" s="57"/>
      <c r="R13" s="45">
        <f>IF(OR(P13="RSA parent isolé",Q13="RSA parent isolé"),IF(H13+I13=1,Ressources!$F$8,IF(H13+I13=2,Ressources!$G$8,IF(H13+I13=3,Ressources!$H$8,IF(H13+I13&gt;3,Ressources!$H$8+(H13+I13-3)*Ressources!$I$8,0)))),IF(AND(P13="ASPA",Q13="ASPA"),Ressources!$F$17,IF(AND('Saisie maison'!Q13="RSA socle",'Saisie maison'!P13="RSA socle"),IF(('Saisie maison'!H13+'Saisie maison'!I13)&gt;5,Ressources!$I$4+Ressources!$J$4*(('Saisie maison'!H13+'Saisie maison'!I13)-5),IF(('Saisie maison'!H13+'Saisie maison'!I13)=2,Ressources!$F$4,IF(('Saisie maison'!H13+'Saisie maison'!I13)=3,Ressources!$G$4,IF(('Saisie maison'!H13+'Saisie maison'!I13)=4,Ressources!$H$4,IF(('Saisie maison'!H13+'Saisie maison'!I13)=5,Ressources!$I$4,0))))), IF(OR(AND('Saisie maison'!Q13="RSA socle",'Saisie maison'!P13&lt;&gt;"RSA socle"),AND('Saisie maison'!P13="RSA socle",'Saisie maison'!Q13&lt;&gt;"RSA socle")),IF(('Saisie maison'!H13+'Saisie maison'!I13)&gt;4,Ressources!$I$3+Ressources!$J$3*(('Saisie maison'!H13+'Saisie maison'!I13)-4),IF(('Saisie maison'!H13+'Saisie maison'!I13)=1,Ressources!$F$3,IF(('Saisie maison'!H13+'Saisie maison'!I13)=2,Ressources!$G$3,IF(('Saisie maison'!H13+'Saisie maison'!I13)=3,Ressources!$H$3,IF(('Saisie maison'!H13+'Saisie maison'!I13)=4,Ressources!$I$3,0))))))+IF(P13=Ressources!$A$3,Ressources!$B$3,IF(P13=Ressources!$A$5,Ressources!$B$5,IF(P13=Ressources!$A$6,Ressources!$B$6,IF(P13=Ressources!$A$7,Ressources!$B$7,IF(P13=Ressources!$A$8,Ressources!$B$8,IF(P13=Ressources!$A$9,Ressources!$B$9,IF(P13=Ressources!$A$10,Ressources!$B$10,IF(P13=Ressources!$A$11,Ressources!$B$11,0))))))))+IF(Q13=Ressources!$A$3,Ressources!$B$3,IF(Q13=Ressources!$A$5,Ressources!$B$5,IF(Q13=Ressources!$A$6,Ressources!$B$6,IF(Q13=Ressources!$A$7,Ressources!$B$7,IF(Q13=Ressources!$A$8,Ressources!$B$8,IF(Q13=Ressources!$A$9,Ressources!$B$9,IF(Q13=Ressources!$A$10,Ressources!$B$10,IF(Q13=Ressources!$A$11,Ressources!$B$11,0)))))))))))</f>
        <v>1041</v>
      </c>
      <c r="S13" s="45">
        <f>IF(AND(P13&lt;&gt;0,Q13&lt;&gt;0),IF((H13+I13)&gt;6,Ressources!$H$12+(H13+I13-6)*Ressources!$I$12+('Saisie maison'!H13-2)*Ressources!$I$13,IF((H13+I13)=6,Ressources!$H$12+('Saisie maison'!H13-2)*Ressources!$H$13,IF((H13+I13)=5,Ressources!$G$12+('Saisie maison'!H13-2)*Ressources!$G$13,IF((H13+I13)=4,Ressources!$F$12+('Saisie maison'!H13-2)*Ressources!$F$13,0)))),IF(OR(P13=0,Q13=0),IF((H13+I13)&gt;5,Ressources!$H$12+(H13+I13-5)*Ressources!$I$12+('Saisie maison'!H13-1)*Ressources!$I$13,IF((H13+I13)=5,Ressources!$H$12+('Saisie maison'!H13-1)*Ressources!$H$13,IF((H13+I13)=4,Ressources!$G$12+('Saisie maison'!H13-1)*Ressources!$G$13,IF((H13+I13)=3,Ressources!$F$12+('Saisie maison'!H13-1)*Ressources!$F$13,0))))))</f>
        <v>197.33</v>
      </c>
      <c r="T13" s="45">
        <f>IF(ISERROR('Cheque Energie'!G16),0,'Cheque Energie'!G16)</f>
        <v>176</v>
      </c>
      <c r="U13" s="56">
        <v>150</v>
      </c>
    </row>
    <row r="14" spans="1:21" ht="32.25" customHeight="1" x14ac:dyDescent="0.25">
      <c r="A14" s="37" t="s">
        <v>90</v>
      </c>
      <c r="B14" s="48"/>
      <c r="C14" s="54"/>
      <c r="D14" s="55"/>
      <c r="E14" s="48"/>
      <c r="F14" s="48"/>
      <c r="G14" s="48"/>
      <c r="H14" s="54"/>
      <c r="I14" s="54"/>
      <c r="J14" s="56"/>
      <c r="K14" s="56"/>
      <c r="L14" s="56"/>
      <c r="M14" s="56"/>
      <c r="N14" s="56"/>
      <c r="O14" s="56"/>
      <c r="P14" s="57"/>
      <c r="Q14" s="57"/>
      <c r="R14" s="45">
        <f>IF(OR(P14="RSA parent isolé",Q14="RSA parent isolé"),IF(H14+I14=1,Ressources!$F$8,IF(H14+I14=2,Ressources!$G$8,IF(H14+I14=3,Ressources!$H$8,IF(H14+I14&gt;3,Ressources!$H$8+(H14+I14-3)*Ressources!$I$8,0)))),IF(AND(P14="ASPA",Q14="ASPA"),Ressources!$F$17,IF(AND('Saisie maison'!Q14="RSA socle",'Saisie maison'!P14="RSA socle"),IF(('Saisie maison'!H14+'Saisie maison'!I14)&gt;5,Ressources!$I$4+Ressources!$J$4*(('Saisie maison'!H14+'Saisie maison'!I14)-5),IF(('Saisie maison'!H14+'Saisie maison'!I14)=2,Ressources!$F$4,IF(('Saisie maison'!H14+'Saisie maison'!I14)=3,Ressources!$G$4,IF(('Saisie maison'!H14+'Saisie maison'!I14)=4,Ressources!$H$4,IF(('Saisie maison'!H14+'Saisie maison'!I14)=5,Ressources!$I$4,0))))), IF(OR(AND('Saisie maison'!Q14="RSA socle",'Saisie maison'!P14&lt;&gt;"RSA socle"),AND('Saisie maison'!P14="RSA socle",'Saisie maison'!Q14&lt;&gt;"RSA socle")),IF(('Saisie maison'!H14+'Saisie maison'!I14)&gt;4,Ressources!$I$3+Ressources!$J$3*(('Saisie maison'!H14+'Saisie maison'!I14)-4),IF(('Saisie maison'!H14+'Saisie maison'!I14)=1,Ressources!$F$3,IF(('Saisie maison'!H14+'Saisie maison'!I14)=2,Ressources!$G$3,IF(('Saisie maison'!H14+'Saisie maison'!I14)=3,Ressources!$H$3,IF(('Saisie maison'!H14+'Saisie maison'!I14)=4,Ressources!$I$3,0))))))+IF(P14=Ressources!$A$3,Ressources!$B$3,IF(P14=Ressources!$A$5,Ressources!$B$5,IF(P14=Ressources!$A$6,Ressources!$B$6,IF(P14=Ressources!$A$7,Ressources!$B$7,IF(P14=Ressources!$A$8,Ressources!$B$8,IF(P14=Ressources!$A$9,Ressources!$B$9,IF(P14=Ressources!$A$10,Ressources!$B$10,IF(P14=Ressources!$A$11,Ressources!$B$11,0))))))))+IF(Q14=Ressources!$A$3,Ressources!$B$3,IF(Q14=Ressources!$A$5,Ressources!$B$5,IF(Q14=Ressources!$A$6,Ressources!$B$6,IF(Q14=Ressources!$A$7,Ressources!$B$7,IF(Q14=Ressources!$A$8,Ressources!$B$8,IF(Q14=Ressources!$A$9,Ressources!$B$9,IF(Q14=Ressources!$A$10,Ressources!$B$10,IF(Q14=Ressources!$A$11,Ressources!$B$11,0)))))))))))</f>
        <v>0</v>
      </c>
      <c r="S14" s="45">
        <f>IF(AND(P14&lt;&gt;0,Q14&lt;&gt;0),IF((H14+I14)&gt;6,Ressources!$H$12+(H14+I14-6)*Ressources!$I$12+('Saisie maison'!H14-2)*Ressources!$I$13,IF((H14+I14)=6,Ressources!$H$12+('Saisie maison'!H14-2)*Ressources!$H$13,IF((H14+I14)=5,Ressources!$G$12+('Saisie maison'!H14-2)*Ressources!$G$13,IF((H14+I14)=4,Ressources!$F$12+('Saisie maison'!H14-2)*Ressources!$F$13,0)))),IF(OR(P14=0,Q14=0),IF((H14+I14)&gt;5,Ressources!$H$12+(H14+I14-5)*Ressources!$I$12+('Saisie maison'!H14-1)*Ressources!$I$13,IF((H14+I14)=5,Ressources!$H$12+('Saisie maison'!H14-1)*Ressources!$H$13,IF((H14+I14)=4,Ressources!$G$12+('Saisie maison'!H14-1)*Ressources!$G$13,IF((H14+I14)=3,Ressources!$F$12+('Saisie maison'!H14-1)*Ressources!$F$13,0))))))</f>
        <v>0</v>
      </c>
      <c r="T14" s="45">
        <f>IF(ISERROR('Cheque Energie'!G17),0,'Cheque Energie'!G17)</f>
        <v>0</v>
      </c>
      <c r="U14" s="56"/>
    </row>
    <row r="15" spans="1:21" ht="30" customHeight="1" x14ac:dyDescent="0.25">
      <c r="A15" s="37" t="s">
        <v>91</v>
      </c>
      <c r="B15" s="48"/>
      <c r="C15" s="54"/>
      <c r="D15" s="55"/>
      <c r="E15" s="48"/>
      <c r="F15" s="48"/>
      <c r="G15" s="48"/>
      <c r="H15" s="54"/>
      <c r="I15" s="54"/>
      <c r="J15" s="56"/>
      <c r="K15" s="56"/>
      <c r="L15" s="56"/>
      <c r="M15" s="56"/>
      <c r="N15" s="56"/>
      <c r="O15" s="56"/>
      <c r="P15" s="57"/>
      <c r="Q15" s="57"/>
      <c r="R15" s="45">
        <f>IF(OR(P15="RSA parent isolé",Q15="RSA parent isolé"),IF(H15+I15=1,Ressources!$F$8,IF(H15+I15=2,Ressources!$G$8,IF(H15+I15=3,Ressources!$H$8,IF(H15+I15&gt;3,Ressources!$H$8+(H15+I15-3)*Ressources!$I$8,0)))),IF(AND(P15="ASPA",Q15="ASPA"),Ressources!$F$17,IF(AND('Saisie maison'!Q15="RSA socle",'Saisie maison'!P15="RSA socle"),IF(('Saisie maison'!H15+'Saisie maison'!I15)&gt;5,Ressources!$I$4+Ressources!$J$4*(('Saisie maison'!H15+'Saisie maison'!I15)-5),IF(('Saisie maison'!H15+'Saisie maison'!I15)=2,Ressources!$F$4,IF(('Saisie maison'!H15+'Saisie maison'!I15)=3,Ressources!$G$4,IF(('Saisie maison'!H15+'Saisie maison'!I15)=4,Ressources!$H$4,IF(('Saisie maison'!H15+'Saisie maison'!I15)=5,Ressources!$I$4,0))))), IF(OR(AND('Saisie maison'!Q15="RSA socle",'Saisie maison'!P15&lt;&gt;"RSA socle"),AND('Saisie maison'!P15="RSA socle",'Saisie maison'!Q15&lt;&gt;"RSA socle")),IF(('Saisie maison'!H15+'Saisie maison'!I15)&gt;4,Ressources!$I$3+Ressources!$J$3*(('Saisie maison'!H15+'Saisie maison'!I15)-4),IF(('Saisie maison'!H15+'Saisie maison'!I15)=1,Ressources!$F$3,IF(('Saisie maison'!H15+'Saisie maison'!I15)=2,Ressources!$G$3,IF(('Saisie maison'!H15+'Saisie maison'!I15)=3,Ressources!$H$3,IF(('Saisie maison'!H15+'Saisie maison'!I15)=4,Ressources!$I$3,0))))))+IF(P15=Ressources!$A$3,Ressources!$B$3,IF(P15=Ressources!$A$5,Ressources!$B$5,IF(P15=Ressources!$A$6,Ressources!$B$6,IF(P15=Ressources!$A$7,Ressources!$B$7,IF(P15=Ressources!$A$8,Ressources!$B$8,IF(P15=Ressources!$A$9,Ressources!$B$9,IF(P15=Ressources!$A$10,Ressources!$B$10,IF(P15=Ressources!$A$11,Ressources!$B$11,0))))))))+IF(Q15=Ressources!$A$3,Ressources!$B$3,IF(Q15=Ressources!$A$5,Ressources!$B$5,IF(Q15=Ressources!$A$6,Ressources!$B$6,IF(Q15=Ressources!$A$7,Ressources!$B$7,IF(Q15=Ressources!$A$8,Ressources!$B$8,IF(Q15=Ressources!$A$9,Ressources!$B$9,IF(Q15=Ressources!$A$10,Ressources!$B$10,IF(Q15=Ressources!$A$11,Ressources!$B$11,0)))))))))))</f>
        <v>0</v>
      </c>
      <c r="S15" s="45">
        <f>IF(AND(P15&lt;&gt;0,Q15&lt;&gt;0),IF((H15+I15)&gt;6,Ressources!$H$12+(H15+I15-6)*Ressources!$I$12+('Saisie maison'!H15-2)*Ressources!$I$13,IF((H15+I15)=6,Ressources!$H$12+('Saisie maison'!H15-2)*Ressources!$H$13,IF((H15+I15)=5,Ressources!$G$12+('Saisie maison'!H15-2)*Ressources!$G$13,IF((H15+I15)=4,Ressources!$F$12+('Saisie maison'!H15-2)*Ressources!$F$13,0)))),IF(OR(P15=0,Q15=0),IF((H15+I15)&gt;5,Ressources!$H$12+(H15+I15-5)*Ressources!$I$12+('Saisie maison'!H15-1)*Ressources!$I$13,IF((H15+I15)=5,Ressources!$H$12+('Saisie maison'!H15-1)*Ressources!$H$13,IF((H15+I15)=4,Ressources!$G$12+('Saisie maison'!H15-1)*Ressources!$G$13,IF((H15+I15)=3,Ressources!$F$12+('Saisie maison'!H15-1)*Ressources!$F$13,0))))))</f>
        <v>0</v>
      </c>
      <c r="T15" s="45">
        <f>IF(ISERROR('Cheque Energie'!G18),0,'Cheque Energie'!G18)</f>
        <v>0</v>
      </c>
      <c r="U15" s="56"/>
    </row>
    <row r="16" spans="1:21" ht="30" customHeight="1" x14ac:dyDescent="0.25">
      <c r="A16" s="37" t="s">
        <v>92</v>
      </c>
      <c r="B16" s="48"/>
      <c r="C16" s="54"/>
      <c r="D16" s="55"/>
      <c r="E16" s="48"/>
      <c r="F16" s="48"/>
      <c r="G16" s="48"/>
      <c r="H16" s="54"/>
      <c r="I16" s="54"/>
      <c r="J16" s="56"/>
      <c r="K16" s="56"/>
      <c r="L16" s="56"/>
      <c r="M16" s="56"/>
      <c r="N16" s="56"/>
      <c r="O16" s="56"/>
      <c r="P16" s="57"/>
      <c r="Q16" s="57"/>
      <c r="R16" s="45">
        <f>IF(OR(P16="RSA parent isolé",Q16="RSA parent isolé"),IF(H16+I16=1,Ressources!$F$8,IF(H16+I16=2,Ressources!$G$8,IF(H16+I16=3,Ressources!$H$8,IF(H16+I16&gt;3,Ressources!$H$8+(H16+I16-3)*Ressources!$I$8,0)))),IF(AND(P16="ASPA",Q16="ASPA"),Ressources!$F$17,IF(AND('Saisie maison'!Q16="RSA socle",'Saisie maison'!P16="RSA socle"),IF(('Saisie maison'!H16+'Saisie maison'!I16)&gt;5,Ressources!$I$4+Ressources!$J$4*(('Saisie maison'!H16+'Saisie maison'!I16)-5),IF(('Saisie maison'!H16+'Saisie maison'!I16)=2,Ressources!$F$4,IF(('Saisie maison'!H16+'Saisie maison'!I16)=3,Ressources!$G$4,IF(('Saisie maison'!H16+'Saisie maison'!I16)=4,Ressources!$H$4,IF(('Saisie maison'!H16+'Saisie maison'!I16)=5,Ressources!$I$4,0))))), IF(OR(AND('Saisie maison'!Q16="RSA socle",'Saisie maison'!P16&lt;&gt;"RSA socle"),AND('Saisie maison'!P16="RSA socle",'Saisie maison'!Q16&lt;&gt;"RSA socle")),IF(('Saisie maison'!H16+'Saisie maison'!I16)&gt;4,Ressources!$I$3+Ressources!$J$3*(('Saisie maison'!H16+'Saisie maison'!I16)-4),IF(('Saisie maison'!H16+'Saisie maison'!I16)=1,Ressources!$F$3,IF(('Saisie maison'!H16+'Saisie maison'!I16)=2,Ressources!$G$3,IF(('Saisie maison'!H16+'Saisie maison'!I16)=3,Ressources!$H$3,IF(('Saisie maison'!H16+'Saisie maison'!I16)=4,Ressources!$I$3,0))))))+IF(P16=Ressources!$A$3,Ressources!$B$3,IF(P16=Ressources!$A$5,Ressources!$B$5,IF(P16=Ressources!$A$6,Ressources!$B$6,IF(P16=Ressources!$A$7,Ressources!$B$7,IF(P16=Ressources!$A$8,Ressources!$B$8,IF(P16=Ressources!$A$9,Ressources!$B$9,IF(P16=Ressources!$A$10,Ressources!$B$10,IF(P16=Ressources!$A$11,Ressources!$B$11,0))))))))+IF(Q16=Ressources!$A$3,Ressources!$B$3,IF(Q16=Ressources!$A$5,Ressources!$B$5,IF(Q16=Ressources!$A$6,Ressources!$B$6,IF(Q16=Ressources!$A$7,Ressources!$B$7,IF(Q16=Ressources!$A$8,Ressources!$B$8,IF(Q16=Ressources!$A$9,Ressources!$B$9,IF(Q16=Ressources!$A$10,Ressources!$B$10,IF(Q16=Ressources!$A$11,Ressources!$B$11,0)))))))))))</f>
        <v>0</v>
      </c>
      <c r="S16" s="45">
        <f>IF(AND(P16&lt;&gt;0,Q16&lt;&gt;0),IF((H16+I16)&gt;6,Ressources!$H$12+(H16+I16-6)*Ressources!$I$12+('Saisie maison'!H16-2)*Ressources!$I$13,IF((H16+I16)=6,Ressources!$H$12+('Saisie maison'!H16-2)*Ressources!$H$13,IF((H16+I16)=5,Ressources!$G$12+('Saisie maison'!H16-2)*Ressources!$G$13,IF((H16+I16)=4,Ressources!$F$12+('Saisie maison'!H16-2)*Ressources!$F$13,0)))),IF(OR(P16=0,Q16=0),IF((H16+I16)&gt;5,Ressources!$H$12+(H16+I16-5)*Ressources!$I$12+('Saisie maison'!H16-1)*Ressources!$I$13,IF((H16+I16)=5,Ressources!$H$12+('Saisie maison'!H16-1)*Ressources!$H$13,IF((H16+I16)=4,Ressources!$G$12+('Saisie maison'!H16-1)*Ressources!$G$13,IF((H16+I16)=3,Ressources!$F$12+('Saisie maison'!H16-1)*Ressources!$F$13,0))))))</f>
        <v>0</v>
      </c>
      <c r="T16" s="45">
        <f>IF(ISERROR('Cheque Energie'!G19),0,'Cheque Energie'!G19)</f>
        <v>0</v>
      </c>
      <c r="U16" s="56"/>
    </row>
    <row r="17" spans="1:21" ht="30" customHeight="1" x14ac:dyDescent="0.25">
      <c r="A17" s="37" t="s">
        <v>93</v>
      </c>
      <c r="B17" s="48"/>
      <c r="C17" s="54"/>
      <c r="D17" s="55"/>
      <c r="E17" s="48"/>
      <c r="F17" s="48"/>
      <c r="G17" s="48"/>
      <c r="H17" s="54"/>
      <c r="I17" s="54"/>
      <c r="J17" s="56"/>
      <c r="K17" s="56"/>
      <c r="L17" s="56"/>
      <c r="M17" s="56"/>
      <c r="N17" s="56"/>
      <c r="O17" s="56"/>
      <c r="P17" s="57"/>
      <c r="Q17" s="57"/>
      <c r="R17" s="45">
        <f>IF(OR(P17="RSA parent isolé",Q17="RSA parent isolé"),IF(H17+I17=1,Ressources!$F$8,IF(H17+I17=2,Ressources!$G$8,IF(H17+I17=3,Ressources!$H$8,IF(H17+I17&gt;3,Ressources!$H$8+(H17+I17-3)*Ressources!$I$8,0)))),IF(AND(P17="ASPA",Q17="ASPA"),Ressources!$F$17,IF(AND('Saisie maison'!Q17="RSA socle",'Saisie maison'!P17="RSA socle"),IF(('Saisie maison'!H17+'Saisie maison'!I17)&gt;5,Ressources!$I$4+Ressources!$J$4*(('Saisie maison'!H17+'Saisie maison'!I17)-5),IF(('Saisie maison'!H17+'Saisie maison'!I17)=2,Ressources!$F$4,IF(('Saisie maison'!H17+'Saisie maison'!I17)=3,Ressources!$G$4,IF(('Saisie maison'!H17+'Saisie maison'!I17)=4,Ressources!$H$4,IF(('Saisie maison'!H17+'Saisie maison'!I17)=5,Ressources!$I$4,0))))), IF(OR(AND('Saisie maison'!Q17="RSA socle",'Saisie maison'!P17&lt;&gt;"RSA socle"),AND('Saisie maison'!P17="RSA socle",'Saisie maison'!Q17&lt;&gt;"RSA socle")),IF(('Saisie maison'!H17+'Saisie maison'!I17)&gt;4,Ressources!$I$3+Ressources!$J$3*(('Saisie maison'!H17+'Saisie maison'!I17)-4),IF(('Saisie maison'!H17+'Saisie maison'!I17)=1,Ressources!$F$3,IF(('Saisie maison'!H17+'Saisie maison'!I17)=2,Ressources!$G$3,IF(('Saisie maison'!H17+'Saisie maison'!I17)=3,Ressources!$H$3,IF(('Saisie maison'!H17+'Saisie maison'!I17)=4,Ressources!$I$3,0))))))+IF(P17=Ressources!$A$3,Ressources!$B$3,IF(P17=Ressources!$A$5,Ressources!$B$5,IF(P17=Ressources!$A$6,Ressources!$B$6,IF(P17=Ressources!$A$7,Ressources!$B$7,IF(P17=Ressources!$A$8,Ressources!$B$8,IF(P17=Ressources!$A$9,Ressources!$B$9,IF(P17=Ressources!$A$10,Ressources!$B$10,IF(P17=Ressources!$A$11,Ressources!$B$11,0))))))))+IF(Q17=Ressources!$A$3,Ressources!$B$3,IF(Q17=Ressources!$A$5,Ressources!$B$5,IF(Q17=Ressources!$A$6,Ressources!$B$6,IF(Q17=Ressources!$A$7,Ressources!$B$7,IF(Q17=Ressources!$A$8,Ressources!$B$8,IF(Q17=Ressources!$A$9,Ressources!$B$9,IF(Q17=Ressources!$A$10,Ressources!$B$10,IF(Q17=Ressources!$A$11,Ressources!$B$11,0)))))))))))</f>
        <v>0</v>
      </c>
      <c r="S17" s="45">
        <f>IF(AND(P17&lt;&gt;0,Q17&lt;&gt;0),IF((H17+I17)&gt;6,Ressources!$H$12+(H17+I17-6)*Ressources!$I$12+('Saisie maison'!H17-2)*Ressources!$I$13,IF((H17+I17)=6,Ressources!$H$12+('Saisie maison'!H17-2)*Ressources!$H$13,IF((H17+I17)=5,Ressources!$G$12+('Saisie maison'!H17-2)*Ressources!$G$13,IF((H17+I17)=4,Ressources!$F$12+('Saisie maison'!H17-2)*Ressources!$F$13,0)))),IF(OR(P17=0,Q17=0),IF((H17+I17)&gt;5,Ressources!$H$12+(H17+I17-5)*Ressources!$I$12+('Saisie maison'!H17-1)*Ressources!$I$13,IF((H17+I17)=5,Ressources!$H$12+('Saisie maison'!H17-1)*Ressources!$H$13,IF((H17+I17)=4,Ressources!$G$12+('Saisie maison'!H17-1)*Ressources!$G$13,IF((H17+I17)=3,Ressources!$F$12+('Saisie maison'!H17-1)*Ressources!$F$13,0))))))</f>
        <v>0</v>
      </c>
      <c r="T17" s="45">
        <f>IF(ISERROR('Cheque Energie'!G20),0,'Cheque Energie'!G20)</f>
        <v>0</v>
      </c>
      <c r="U17" s="56"/>
    </row>
    <row r="18" spans="1:21" ht="30" hidden="1" customHeight="1" x14ac:dyDescent="0.25">
      <c r="A18" s="58" t="s">
        <v>92</v>
      </c>
      <c r="B18" s="59"/>
      <c r="C18" s="60"/>
      <c r="D18" s="60"/>
      <c r="E18" s="60"/>
      <c r="F18" s="60"/>
      <c r="G18" s="60"/>
      <c r="H18" s="60"/>
      <c r="I18" s="60"/>
      <c r="J18" s="60"/>
      <c r="K18" s="60"/>
      <c r="L18" s="60"/>
      <c r="M18" s="60"/>
      <c r="N18" s="60"/>
      <c r="O18" s="60"/>
      <c r="P18" s="57" t="s">
        <v>27</v>
      </c>
      <c r="Q18" s="60"/>
      <c r="R18" s="61">
        <f>IF(AND('Saisie maison'!Q18="RSA socle",'Saisie maison'!P18="RSA socle"),IF(('Saisie maison'!H18+'Saisie maison'!I18)&gt;5,Ressources!$I$4+Ressources!$J$4*(('Saisie maison'!H18+'Saisie maison'!I18)-5),IF(('Saisie maison'!H18+'Saisie maison'!I18)=2,Ressources!$F$4,IF(('Saisie maison'!H18+'Saisie maison'!I18)=3,Ressources!$G$4,IF(('Saisie maison'!H18+'Saisie maison'!I18)=4,Ressources!$H$4,IF(('Saisie maison'!H18+'Saisie maison'!I18)=5,Ressources!$I$4,0))))), IF(OR(AND('Saisie maison'!Q18="RSA socle",'Saisie maison'!P18&lt;&gt;"RSA socle"),AND('Saisie maison'!P18="RSA socle",'Saisie maison'!Q18&lt;&gt;"RSA socle")),IF(('Saisie maison'!H18+'Saisie maison'!I18)&gt;4,Ressources!$I$3+Ressources!$J$3*(('Saisie maison'!H18+'Saisie maison'!I18)-4),IF(('Saisie maison'!H18+'Saisie maison'!I18)=1,Ressources!$F$3,IF(('Saisie maison'!H18+'Saisie maison'!I18)=2,Ressources!$G$3,IF(('Saisie maison'!H18+'Saisie maison'!I18)=3,Ressources!$H$3,IF(('Saisie maison'!H18+'Saisie maison'!I18)=4,Ressources!$I$3,0))))))+IF(P18=Ressources!$A$3,Ressources!$B$3,IF(P18=Ressources!$A$5,Ressources!$B$5,IF(P18=Ressources!$A$6,Ressources!$B$6,IF(P18=Ressources!$A$7,Ressources!$B$7,IF(P18=Ressources!$A$8,Ressources!$B$8,IF(P18=Ressources!$A$9,Ressources!$B$9,IF(P18=Ressources!$A$10,Ressources!$B$10,IF(P18=Ressources!$A$11,Ressources!$B$11,0))))))))+IF(Q18=Ressources!$A$3,Ressources!$B$3,IF(Q18=Ressources!$A$5,Ressources!$B$5,IF(Q18=Ressources!$A$6,Ressources!$B$6,IF(Q18=Ressources!$A$7,Ressources!$B$7,IF(Q18=Ressources!$A$8,Ressources!$B$8,IF(Q18=Ressources!$A$9,Ressources!$B$9,IF(Q18=Ressources!$A$10,Ressources!$B$10,IF(Q18=Ressources!$A$11,Ressources!$B$11,0)))))))))</f>
        <v>0</v>
      </c>
      <c r="S18" s="61">
        <f>IF(AND(P18&lt;&gt;0,Q18&lt;&gt;0),IF((H18+I18)&gt;6,Ressources!$H$12+(H18+I18-6)*Ressources!$I$12+('Saisie maison'!H18-2)*Ressources!$I$13,IF((H18+I18)=6,Ressources!$H$12+('Saisie maison'!H18-2)*Ressources!$H$13,IF((H18+I18)=5,Ressources!$G$12+('Saisie maison'!H18-2)*Ressources!$G$13,IF((H18+I18)=4,Ressources!$F$12+('Saisie maison'!H18-2)*Ressources!$F$13,0)))),IF(OR(P18=0,Q18=0),IF((H18+I18)&gt;5,Ressources!$H$12+(H18+I18-5)*Ressources!$I$12+('Saisie maison'!H18-1)*Ressources!$I$13,IF((H18+I18)=5,Ressources!$H$12+('Saisie maison'!H18-1)*Ressources!$H$13,IF((H18+I18)=4,Ressources!$G$12+('Saisie maison'!H18-1)*Ressources!$G$13,IF((H18+I18)=3,Ressources!$F$12+('Saisie maison'!H18-1)*Ressources!$F$13,0))))))</f>
        <v>0</v>
      </c>
      <c r="T18" s="61"/>
      <c r="U18" s="60"/>
    </row>
    <row r="19" spans="1:21" ht="30" hidden="1" customHeight="1" x14ac:dyDescent="0.25">
      <c r="A19" s="58" t="s">
        <v>93</v>
      </c>
      <c r="B19" s="59"/>
      <c r="C19" s="60"/>
      <c r="D19" s="60"/>
      <c r="E19" s="60"/>
      <c r="F19" s="60"/>
      <c r="G19" s="60"/>
      <c r="H19" s="60"/>
      <c r="I19" s="60"/>
      <c r="J19" s="60"/>
      <c r="K19" s="60"/>
      <c r="L19" s="60"/>
      <c r="M19" s="60"/>
      <c r="N19" s="60"/>
      <c r="O19" s="60"/>
      <c r="P19" s="57" t="s">
        <v>27</v>
      </c>
      <c r="Q19" s="60"/>
      <c r="R19" s="61">
        <f>IF(AND('Saisie maison'!Q19="RSA socle",'Saisie maison'!P19="RSA socle"),IF(('Saisie maison'!H19+'Saisie maison'!I19)&gt;5,Ressources!$I$4+Ressources!$J$4*(('Saisie maison'!H19+'Saisie maison'!I19)-5),IF(('Saisie maison'!H19+'Saisie maison'!I19)=2,Ressources!$F$4,IF(('Saisie maison'!H19+'Saisie maison'!I19)=3,Ressources!$G$4,IF(('Saisie maison'!H19+'Saisie maison'!I19)=4,Ressources!$H$4,IF(('Saisie maison'!H19+'Saisie maison'!I19)=5,Ressources!$I$4,0))))), IF(OR(AND('Saisie maison'!Q19="RSA socle",'Saisie maison'!P19&lt;&gt;"RSA socle"),AND('Saisie maison'!P19="RSA socle",'Saisie maison'!Q19&lt;&gt;"RSA socle")),IF(('Saisie maison'!H19+'Saisie maison'!I19)&gt;4,Ressources!$I$3+Ressources!$J$3*(('Saisie maison'!H19+'Saisie maison'!I19)-4),IF(('Saisie maison'!H19+'Saisie maison'!I19)=1,Ressources!$F$3,IF(('Saisie maison'!H19+'Saisie maison'!I19)=2,Ressources!$G$3,IF(('Saisie maison'!H19+'Saisie maison'!I19)=3,Ressources!$H$3,IF(('Saisie maison'!H19+'Saisie maison'!I19)=4,Ressources!$I$3,0))))))+IF(P19=Ressources!$A$3,Ressources!$B$3,IF(P19=Ressources!$A$5,Ressources!$B$5,IF(P19=Ressources!$A$6,Ressources!$B$6,IF(P19=Ressources!$A$7,Ressources!$B$7,IF(P19=Ressources!$A$8,Ressources!$B$8,IF(P19=Ressources!$A$9,Ressources!$B$9,IF(P19=Ressources!$A$10,Ressources!$B$10,IF(P19=Ressources!$A$11,Ressources!$B$11,0))))))))+IF(Q19=Ressources!$A$3,Ressources!$B$3,IF(Q19=Ressources!$A$5,Ressources!$B$5,IF(Q19=Ressources!$A$6,Ressources!$B$6,IF(Q19=Ressources!$A$7,Ressources!$B$7,IF(Q19=Ressources!$A$8,Ressources!$B$8,IF(Q19=Ressources!$A$9,Ressources!$B$9,IF(Q19=Ressources!$A$10,Ressources!$B$10,IF(Q19=Ressources!$A$11,Ressources!$B$11,0)))))))))</f>
        <v>0</v>
      </c>
      <c r="S19" s="61">
        <f>IF(AND(P19&lt;&gt;0,Q19&lt;&gt;0),IF((H19+I19)&gt;6,Ressources!$H$12+(H19+I19-6)*Ressources!$I$12+('Saisie maison'!H19-2)*Ressources!$I$13,IF((H19+I19)=6,Ressources!$H$12+('Saisie maison'!H19-2)*Ressources!$H$13,IF((H19+I19)=5,Ressources!$G$12+('Saisie maison'!H19-2)*Ressources!$G$13,IF((H19+I19)=4,Ressources!$F$12+('Saisie maison'!H19-2)*Ressources!$F$13,0)))),IF(OR(P19=0,Q19=0),IF((H19+I19)&gt;5,Ressources!$H$12+(H19+I19-5)*Ressources!$I$12+('Saisie maison'!H19-1)*Ressources!$I$13,IF((H19+I19)=5,Ressources!$H$12+('Saisie maison'!H19-1)*Ressources!$H$13,IF((H19+I19)=4,Ressources!$G$12+('Saisie maison'!H19-1)*Ressources!$G$13,IF((H19+I19)=3,Ressources!$F$12+('Saisie maison'!H19-1)*Ressources!$F$13,0))))))</f>
        <v>0</v>
      </c>
      <c r="T19" s="61"/>
      <c r="U19" s="60"/>
    </row>
    <row r="20" spans="1:21" ht="30" hidden="1" customHeight="1" x14ac:dyDescent="0.25">
      <c r="A20" s="58" t="s">
        <v>94</v>
      </c>
      <c r="B20" s="59"/>
      <c r="C20" s="60"/>
      <c r="D20" s="60"/>
      <c r="E20" s="60"/>
      <c r="F20" s="60"/>
      <c r="G20" s="60"/>
      <c r="H20" s="60"/>
      <c r="I20" s="60"/>
      <c r="J20" s="60"/>
      <c r="K20" s="60"/>
      <c r="L20" s="60"/>
      <c r="M20" s="60"/>
      <c r="N20" s="60"/>
      <c r="O20" s="60"/>
      <c r="P20" s="57" t="s">
        <v>27</v>
      </c>
      <c r="Q20" s="60"/>
      <c r="R20" s="61">
        <f>IF(AND('Saisie maison'!Q20="RSA socle",'Saisie maison'!P20="RSA socle"),IF(('Saisie maison'!H20+'Saisie maison'!I20)&gt;5,Ressources!$I$4+Ressources!$J$4*(('Saisie maison'!H20+'Saisie maison'!I20)-5),IF(('Saisie maison'!H20+'Saisie maison'!I20)=2,Ressources!$F$4,IF(('Saisie maison'!H20+'Saisie maison'!I20)=3,Ressources!$G$4,IF(('Saisie maison'!H20+'Saisie maison'!I20)=4,Ressources!$H$4,IF(('Saisie maison'!H20+'Saisie maison'!I20)=5,Ressources!$I$4,0))))), IF(OR(AND('Saisie maison'!Q20="RSA socle",'Saisie maison'!P20&lt;&gt;"RSA socle"),AND('Saisie maison'!P20="RSA socle",'Saisie maison'!Q20&lt;&gt;"RSA socle")),IF(('Saisie maison'!H20+'Saisie maison'!I20)&gt;4,Ressources!$I$3+Ressources!$J$3*(('Saisie maison'!H20+'Saisie maison'!I20)-4),IF(('Saisie maison'!H20+'Saisie maison'!I20)=1,Ressources!$F$3,IF(('Saisie maison'!H20+'Saisie maison'!I20)=2,Ressources!$G$3,IF(('Saisie maison'!H20+'Saisie maison'!I20)=3,Ressources!$H$3,IF(('Saisie maison'!H20+'Saisie maison'!I20)=4,Ressources!$I$3,0))))))+IF(P20=Ressources!$A$3,Ressources!$B$3,IF(P20=Ressources!$A$5,Ressources!$B$5,IF(P20=Ressources!$A$6,Ressources!$B$6,IF(P20=Ressources!$A$7,Ressources!$B$7,IF(P20=Ressources!$A$8,Ressources!$B$8,IF(P20=Ressources!$A$9,Ressources!$B$9,IF(P20=Ressources!$A$10,Ressources!$B$10,IF(P20=Ressources!$A$11,Ressources!$B$11,0))))))))+IF(Q20=Ressources!$A$3,Ressources!$B$3,IF(Q20=Ressources!$A$5,Ressources!$B$5,IF(Q20=Ressources!$A$6,Ressources!$B$6,IF(Q20=Ressources!$A$7,Ressources!$B$7,IF(Q20=Ressources!$A$8,Ressources!$B$8,IF(Q20=Ressources!$A$9,Ressources!$B$9,IF(Q20=Ressources!$A$10,Ressources!$B$10,IF(Q20=Ressources!$A$11,Ressources!$B$11,0)))))))))</f>
        <v>0</v>
      </c>
      <c r="S20" s="61">
        <f>IF(AND(P20&lt;&gt;0,Q20&lt;&gt;0),IF((H20+I20)&gt;6,Ressources!$H$12+(H20+I20-6)*Ressources!$I$12+('Saisie maison'!H20-2)*Ressources!$I$13,IF((H20+I20)=6,Ressources!$H$12+('Saisie maison'!H20-2)*Ressources!$H$13,IF((H20+I20)=5,Ressources!$G$12+('Saisie maison'!H20-2)*Ressources!$G$13,IF((H20+I20)=4,Ressources!$F$12+('Saisie maison'!H20-2)*Ressources!$F$13,0)))),IF(OR(P20=0,Q20=0),IF((H20+I20)&gt;5,Ressources!$H$12+(H20+I20-5)*Ressources!$I$12+('Saisie maison'!H20-1)*Ressources!$I$13,IF((H20+I20)=5,Ressources!$H$12+('Saisie maison'!H20-1)*Ressources!$H$13,IF((H20+I20)=4,Ressources!$G$12+('Saisie maison'!H20-1)*Ressources!$G$13,IF((H20+I20)=3,Ressources!$F$12+('Saisie maison'!H20-1)*Ressources!$F$13,0))))))</f>
        <v>0</v>
      </c>
      <c r="T20" s="61"/>
      <c r="U20" s="60"/>
    </row>
    <row r="21" spans="1:21" ht="30" hidden="1" customHeight="1" x14ac:dyDescent="0.25">
      <c r="A21" s="58" t="s">
        <v>95</v>
      </c>
      <c r="B21" s="59"/>
      <c r="C21" s="60"/>
      <c r="D21" s="60"/>
      <c r="E21" s="60"/>
      <c r="F21" s="60"/>
      <c r="G21" s="60"/>
      <c r="H21" s="60"/>
      <c r="I21" s="60"/>
      <c r="J21" s="60"/>
      <c r="K21" s="60"/>
      <c r="L21" s="60"/>
      <c r="M21" s="60"/>
      <c r="N21" s="60"/>
      <c r="O21" s="60"/>
      <c r="P21" s="57" t="s">
        <v>27</v>
      </c>
      <c r="Q21" s="60"/>
      <c r="R21" s="61">
        <f>IF(AND('Saisie maison'!Q21="RSA socle",'Saisie maison'!P21="RSA socle"),IF(('Saisie maison'!H21+'Saisie maison'!I21)&gt;5,Ressources!$I$4+Ressources!$J$4*(('Saisie maison'!H21+'Saisie maison'!I21)-5),IF(('Saisie maison'!H21+'Saisie maison'!I21)=2,Ressources!$F$4,IF(('Saisie maison'!H21+'Saisie maison'!I21)=3,Ressources!$G$4,IF(('Saisie maison'!H21+'Saisie maison'!I21)=4,Ressources!$H$4,IF(('Saisie maison'!H21+'Saisie maison'!I21)=5,Ressources!$I$4,0))))), IF(OR(AND('Saisie maison'!Q21="RSA socle",'Saisie maison'!P21&lt;&gt;"RSA socle"),AND('Saisie maison'!P21="RSA socle",'Saisie maison'!Q21&lt;&gt;"RSA socle")),IF(('Saisie maison'!H21+'Saisie maison'!I21)&gt;4,Ressources!$I$3+Ressources!$J$3*(('Saisie maison'!H21+'Saisie maison'!I21)-4),IF(('Saisie maison'!H21+'Saisie maison'!I21)=1,Ressources!$F$3,IF(('Saisie maison'!H21+'Saisie maison'!I21)=2,Ressources!$G$3,IF(('Saisie maison'!H21+'Saisie maison'!I21)=3,Ressources!$H$3,IF(('Saisie maison'!H21+'Saisie maison'!I21)=4,Ressources!$I$3,0))))))+IF(P21=Ressources!$A$3,Ressources!$B$3,IF(P21=Ressources!$A$5,Ressources!$B$5,IF(P21=Ressources!$A$6,Ressources!$B$6,IF(P21=Ressources!$A$7,Ressources!$B$7,IF(P21=Ressources!$A$8,Ressources!$B$8,IF(P21=Ressources!$A$9,Ressources!$B$9,IF(P21=Ressources!$A$10,Ressources!$B$10,IF(P21=Ressources!$A$11,Ressources!$B$11,0))))))))+IF(Q21=Ressources!$A$3,Ressources!$B$3,IF(Q21=Ressources!$A$5,Ressources!$B$5,IF(Q21=Ressources!$A$6,Ressources!$B$6,IF(Q21=Ressources!$A$7,Ressources!$B$7,IF(Q21=Ressources!$A$8,Ressources!$B$8,IF(Q21=Ressources!$A$9,Ressources!$B$9,IF(Q21=Ressources!$A$10,Ressources!$B$10,IF(Q21=Ressources!$A$11,Ressources!$B$11,0)))))))))</f>
        <v>0</v>
      </c>
      <c r="S21" s="61">
        <f>IF(AND(P21&lt;&gt;0,Q21&lt;&gt;0),IF((H21+I21)&gt;6,Ressources!$H$12+(H21+I21-6)*Ressources!$I$12+('Saisie maison'!H21-2)*Ressources!$I$13,IF((H21+I21)=6,Ressources!$H$12+('Saisie maison'!H21-2)*Ressources!$H$13,IF((H21+I21)=5,Ressources!$G$12+('Saisie maison'!H21-2)*Ressources!$G$13,IF((H21+I21)=4,Ressources!$F$12+('Saisie maison'!H21-2)*Ressources!$F$13,0)))),IF(OR(P21=0,Q21=0),IF((H21+I21)&gt;5,Ressources!$H$12+(H21+I21-5)*Ressources!$I$12+('Saisie maison'!H21-1)*Ressources!$I$13,IF((H21+I21)=5,Ressources!$H$12+('Saisie maison'!H21-1)*Ressources!$H$13,IF((H21+I21)=4,Ressources!$G$12+('Saisie maison'!H21-1)*Ressources!$G$13,IF((H21+I21)=3,Ressources!$F$12+('Saisie maison'!H21-1)*Ressources!$F$13,0))))))</f>
        <v>0</v>
      </c>
      <c r="T21" s="61"/>
      <c r="U21" s="60"/>
    </row>
    <row r="22" spans="1:21" ht="30" hidden="1" customHeight="1" x14ac:dyDescent="0.25">
      <c r="A22" s="58" t="s">
        <v>96</v>
      </c>
      <c r="B22" s="59"/>
      <c r="C22" s="60"/>
      <c r="D22" s="60"/>
      <c r="E22" s="60"/>
      <c r="F22" s="60"/>
      <c r="G22" s="60"/>
      <c r="H22" s="60"/>
      <c r="I22" s="60"/>
      <c r="J22" s="60"/>
      <c r="K22" s="60"/>
      <c r="L22" s="60"/>
      <c r="M22" s="60"/>
      <c r="N22" s="60"/>
      <c r="O22" s="60"/>
      <c r="P22" s="57" t="s">
        <v>27</v>
      </c>
      <c r="Q22" s="60"/>
      <c r="R22" s="61">
        <f>IF(AND('Saisie maison'!Q22="RSA socle",'Saisie maison'!P22="RSA socle"),IF(('Saisie maison'!H22+'Saisie maison'!I22)&gt;5,Ressources!$I$4+Ressources!$J$4*(('Saisie maison'!H22+'Saisie maison'!I22)-5),IF(('Saisie maison'!H22+'Saisie maison'!I22)=2,Ressources!$F$4,IF(('Saisie maison'!H22+'Saisie maison'!I22)=3,Ressources!$G$4,IF(('Saisie maison'!H22+'Saisie maison'!I22)=4,Ressources!$H$4,IF(('Saisie maison'!H22+'Saisie maison'!I22)=5,Ressources!$I$4,0))))), IF(OR(AND('Saisie maison'!Q22="RSA socle",'Saisie maison'!P22&lt;&gt;"RSA socle"),AND('Saisie maison'!P22="RSA socle",'Saisie maison'!Q22&lt;&gt;"RSA socle")),IF(('Saisie maison'!H22+'Saisie maison'!I22)&gt;4,Ressources!$I$3+Ressources!$J$3*(('Saisie maison'!H22+'Saisie maison'!I22)-4),IF(('Saisie maison'!H22+'Saisie maison'!I22)=1,Ressources!$F$3,IF(('Saisie maison'!H22+'Saisie maison'!I22)=2,Ressources!$G$3,IF(('Saisie maison'!H22+'Saisie maison'!I22)=3,Ressources!$H$3,IF(('Saisie maison'!H22+'Saisie maison'!I22)=4,Ressources!$I$3,0))))))+IF(P22=Ressources!$A$3,Ressources!$B$3,IF(P22=Ressources!$A$5,Ressources!$B$5,IF(P22=Ressources!$A$6,Ressources!$B$6,IF(P22=Ressources!$A$7,Ressources!$B$7,IF(P22=Ressources!$A$8,Ressources!$B$8,IF(P22=Ressources!$A$9,Ressources!$B$9,IF(P22=Ressources!$A$10,Ressources!$B$10,IF(P22=Ressources!$A$11,Ressources!$B$11,0))))))))+IF(Q22=Ressources!$A$3,Ressources!$B$3,IF(Q22=Ressources!$A$5,Ressources!$B$5,IF(Q22=Ressources!$A$6,Ressources!$B$6,IF(Q22=Ressources!$A$7,Ressources!$B$7,IF(Q22=Ressources!$A$8,Ressources!$B$8,IF(Q22=Ressources!$A$9,Ressources!$B$9,IF(Q22=Ressources!$A$10,Ressources!$B$10,IF(Q22=Ressources!$A$11,Ressources!$B$11,0)))))))))</f>
        <v>0</v>
      </c>
      <c r="S22" s="61">
        <f>IF(AND(P22&lt;&gt;0,Q22&lt;&gt;0),IF((H22+I22)&gt;6,Ressources!$H$12+(H22+I22-6)*Ressources!$I$12+('Saisie maison'!H22-2)*Ressources!$I$13,IF((H22+I22)=6,Ressources!$H$12+('Saisie maison'!H22-2)*Ressources!$H$13,IF((H22+I22)=5,Ressources!$G$12+('Saisie maison'!H22-2)*Ressources!$G$13,IF((H22+I22)=4,Ressources!$F$12+('Saisie maison'!H22-2)*Ressources!$F$13,0)))),IF(OR(P22=0,Q22=0),IF((H22+I22)&gt;5,Ressources!$H$12+(H22+I22-5)*Ressources!$I$12+('Saisie maison'!H22-1)*Ressources!$I$13,IF((H22+I22)=5,Ressources!$H$12+('Saisie maison'!H22-1)*Ressources!$H$13,IF((H22+I22)=4,Ressources!$G$12+('Saisie maison'!H22-1)*Ressources!$G$13,IF((H22+I22)=3,Ressources!$F$12+('Saisie maison'!H22-1)*Ressources!$F$13,0))))))</f>
        <v>0</v>
      </c>
      <c r="T22" s="61"/>
      <c r="U22" s="60"/>
    </row>
    <row r="23" spans="1:21" ht="30" hidden="1" customHeight="1" x14ac:dyDescent="0.25">
      <c r="A23" s="58" t="s">
        <v>97</v>
      </c>
      <c r="B23" s="59"/>
      <c r="C23" s="60"/>
      <c r="D23" s="60"/>
      <c r="E23" s="60"/>
      <c r="F23" s="60"/>
      <c r="G23" s="60"/>
      <c r="H23" s="60"/>
      <c r="I23" s="60"/>
      <c r="J23" s="60"/>
      <c r="K23" s="60"/>
      <c r="L23" s="60"/>
      <c r="M23" s="60"/>
      <c r="N23" s="60"/>
      <c r="O23" s="60"/>
      <c r="P23" s="57" t="s">
        <v>27</v>
      </c>
      <c r="Q23" s="60"/>
      <c r="R23" s="61">
        <f>IF(AND('Saisie maison'!Q23="RSA socle",'Saisie maison'!P23="RSA socle"),IF(('Saisie maison'!H23+'Saisie maison'!I23)&gt;5,Ressources!$I$4+Ressources!$J$4*(('Saisie maison'!H23+'Saisie maison'!I23)-5),IF(('Saisie maison'!H23+'Saisie maison'!I23)=2,Ressources!$F$4,IF(('Saisie maison'!H23+'Saisie maison'!I23)=3,Ressources!$G$4,IF(('Saisie maison'!H23+'Saisie maison'!I23)=4,Ressources!$H$4,IF(('Saisie maison'!H23+'Saisie maison'!I23)=5,Ressources!$I$4,0))))), IF(OR(AND('Saisie maison'!Q23="RSA socle",'Saisie maison'!P23&lt;&gt;"RSA socle"),AND('Saisie maison'!P23="RSA socle",'Saisie maison'!Q23&lt;&gt;"RSA socle")),IF(('Saisie maison'!H23+'Saisie maison'!I23)&gt;4,Ressources!$I$3+Ressources!$J$3*(('Saisie maison'!H23+'Saisie maison'!I23)-4),IF(('Saisie maison'!H23+'Saisie maison'!I23)=1,Ressources!$F$3,IF(('Saisie maison'!H23+'Saisie maison'!I23)=2,Ressources!$G$3,IF(('Saisie maison'!H23+'Saisie maison'!I23)=3,Ressources!$H$3,IF(('Saisie maison'!H23+'Saisie maison'!I23)=4,Ressources!$I$3,0))))))+IF(P23=Ressources!$A$3,Ressources!$B$3,IF(P23=Ressources!$A$5,Ressources!$B$5,IF(P23=Ressources!$A$6,Ressources!$B$6,IF(P23=Ressources!$A$7,Ressources!$B$7,IF(P23=Ressources!$A$8,Ressources!$B$8,IF(P23=Ressources!$A$9,Ressources!$B$9,IF(P23=Ressources!$A$10,Ressources!$B$10,IF(P23=Ressources!$A$11,Ressources!$B$11,0))))))))+IF(Q23=Ressources!$A$3,Ressources!$B$3,IF(Q23=Ressources!$A$5,Ressources!$B$5,IF(Q23=Ressources!$A$6,Ressources!$B$6,IF(Q23=Ressources!$A$7,Ressources!$B$7,IF(Q23=Ressources!$A$8,Ressources!$B$8,IF(Q23=Ressources!$A$9,Ressources!$B$9,IF(Q23=Ressources!$A$10,Ressources!$B$10,IF(Q23=Ressources!$A$11,Ressources!$B$11,0)))))))))</f>
        <v>0</v>
      </c>
      <c r="S23" s="61">
        <f>IF(AND(P23&lt;&gt;0,Q23&lt;&gt;0),IF((H23+I23)&gt;6,Ressources!$H$12+(H23+I23-6)*Ressources!$I$12+('Saisie maison'!H23-2)*Ressources!$I$13,IF((H23+I23)=6,Ressources!$H$12+('Saisie maison'!H23-2)*Ressources!$H$13,IF((H23+I23)=5,Ressources!$G$12+('Saisie maison'!H23-2)*Ressources!$G$13,IF((H23+I23)=4,Ressources!$F$12+('Saisie maison'!H23-2)*Ressources!$F$13,0)))),IF(OR(P23=0,Q23=0),IF((H23+I23)&gt;5,Ressources!$H$12+(H23+I23-5)*Ressources!$I$12+('Saisie maison'!H23-1)*Ressources!$I$13,IF((H23+I23)=5,Ressources!$H$12+('Saisie maison'!H23-1)*Ressources!$H$13,IF((H23+I23)=4,Ressources!$G$12+('Saisie maison'!H23-1)*Ressources!$G$13,IF((H23+I23)=3,Ressources!$F$12+('Saisie maison'!H23-1)*Ressources!$F$13,0))))))</f>
        <v>0</v>
      </c>
      <c r="T23" s="61"/>
      <c r="U23" s="60"/>
    </row>
    <row r="24" spans="1:21" ht="30" hidden="1" customHeight="1" x14ac:dyDescent="0.25">
      <c r="A24" s="58" t="s">
        <v>98</v>
      </c>
      <c r="B24" s="59"/>
      <c r="C24" s="60"/>
      <c r="D24" s="60"/>
      <c r="E24" s="60"/>
      <c r="F24" s="60"/>
      <c r="G24" s="60"/>
      <c r="H24" s="60"/>
      <c r="I24" s="60"/>
      <c r="J24" s="60"/>
      <c r="K24" s="60"/>
      <c r="L24" s="60"/>
      <c r="M24" s="60"/>
      <c r="N24" s="60"/>
      <c r="O24" s="60"/>
      <c r="P24" s="57" t="s">
        <v>27</v>
      </c>
      <c r="Q24" s="60"/>
      <c r="R24" s="61">
        <f>IF(AND('Saisie maison'!Q24="RSA socle",'Saisie maison'!P24="RSA socle"),IF(('Saisie maison'!H24+'Saisie maison'!I24)&gt;5,Ressources!$I$4+Ressources!$J$4*(('Saisie maison'!H24+'Saisie maison'!I24)-5),IF(('Saisie maison'!H24+'Saisie maison'!I24)=2,Ressources!$F$4,IF(('Saisie maison'!H24+'Saisie maison'!I24)=3,Ressources!$G$4,IF(('Saisie maison'!H24+'Saisie maison'!I24)=4,Ressources!$H$4,IF(('Saisie maison'!H24+'Saisie maison'!I24)=5,Ressources!$I$4,0))))), IF(OR(AND('Saisie maison'!Q24="RSA socle",'Saisie maison'!P24&lt;&gt;"RSA socle"),AND('Saisie maison'!P24="RSA socle",'Saisie maison'!Q24&lt;&gt;"RSA socle")),IF(('Saisie maison'!H24+'Saisie maison'!I24)&gt;4,Ressources!$I$3+Ressources!$J$3*(('Saisie maison'!H24+'Saisie maison'!I24)-4),IF(('Saisie maison'!H24+'Saisie maison'!I24)=1,Ressources!$F$3,IF(('Saisie maison'!H24+'Saisie maison'!I24)=2,Ressources!$G$3,IF(('Saisie maison'!H24+'Saisie maison'!I24)=3,Ressources!$H$3,IF(('Saisie maison'!H24+'Saisie maison'!I24)=4,Ressources!$I$3,0))))))+IF(P24=Ressources!$A$3,Ressources!$B$3,IF(P24=Ressources!$A$5,Ressources!$B$5,IF(P24=Ressources!$A$6,Ressources!$B$6,IF(P24=Ressources!$A$7,Ressources!$B$7,IF(P24=Ressources!$A$8,Ressources!$B$8,IF(P24=Ressources!$A$9,Ressources!$B$9,IF(P24=Ressources!$A$10,Ressources!$B$10,IF(P24=Ressources!$A$11,Ressources!$B$11,0))))))))+IF(Q24=Ressources!$A$3,Ressources!$B$3,IF(Q24=Ressources!$A$5,Ressources!$B$5,IF(Q24=Ressources!$A$6,Ressources!$B$6,IF(Q24=Ressources!$A$7,Ressources!$B$7,IF(Q24=Ressources!$A$8,Ressources!$B$8,IF(Q24=Ressources!$A$9,Ressources!$B$9,IF(Q24=Ressources!$A$10,Ressources!$B$10,IF(Q24=Ressources!$A$11,Ressources!$B$11,0)))))))))</f>
        <v>0</v>
      </c>
      <c r="S24" s="61">
        <f>IF(AND(P24&lt;&gt;0,Q24&lt;&gt;0),IF((H24+I24)&gt;6,Ressources!$H$12+(H24+I24-6)*Ressources!$I$12+('Saisie maison'!H24-2)*Ressources!$I$13,IF((H24+I24)=6,Ressources!$H$12+('Saisie maison'!H24-2)*Ressources!$H$13,IF((H24+I24)=5,Ressources!$G$12+('Saisie maison'!H24-2)*Ressources!$G$13,IF((H24+I24)=4,Ressources!$F$12+('Saisie maison'!H24-2)*Ressources!$F$13,0)))),IF(OR(P24=0,Q24=0),IF((H24+I24)&gt;5,Ressources!$H$12+(H24+I24-5)*Ressources!$I$12+('Saisie maison'!H24-1)*Ressources!$I$13,IF((H24+I24)=5,Ressources!$H$12+('Saisie maison'!H24-1)*Ressources!$H$13,IF((H24+I24)=4,Ressources!$G$12+('Saisie maison'!H24-1)*Ressources!$G$13,IF((H24+I24)=3,Ressources!$F$12+('Saisie maison'!H24-1)*Ressources!$F$13,0))))))</f>
        <v>0</v>
      </c>
      <c r="T24" s="61"/>
      <c r="U24" s="60"/>
    </row>
    <row r="25" spans="1:21" ht="30" hidden="1" customHeight="1" x14ac:dyDescent="0.25">
      <c r="A25" s="58" t="s">
        <v>99</v>
      </c>
      <c r="B25" s="59"/>
      <c r="C25" s="60"/>
      <c r="D25" s="60"/>
      <c r="E25" s="60"/>
      <c r="F25" s="60"/>
      <c r="G25" s="60"/>
      <c r="H25" s="60"/>
      <c r="I25" s="60"/>
      <c r="J25" s="60"/>
      <c r="K25" s="60"/>
      <c r="L25" s="60"/>
      <c r="M25" s="60"/>
      <c r="N25" s="60"/>
      <c r="O25" s="60"/>
      <c r="P25" s="57" t="s">
        <v>27</v>
      </c>
      <c r="Q25" s="60"/>
      <c r="R25" s="61">
        <f>IF(AND('Saisie maison'!Q25="RSA socle",'Saisie maison'!P25="RSA socle"),IF(('Saisie maison'!H25+'Saisie maison'!I25)&gt;5,Ressources!$I$4+Ressources!$J$4*(('Saisie maison'!H25+'Saisie maison'!I25)-5),IF(('Saisie maison'!H25+'Saisie maison'!I25)=2,Ressources!$F$4,IF(('Saisie maison'!H25+'Saisie maison'!I25)=3,Ressources!$G$4,IF(('Saisie maison'!H25+'Saisie maison'!I25)=4,Ressources!$H$4,IF(('Saisie maison'!H25+'Saisie maison'!I25)=5,Ressources!$I$4,0))))), IF(OR(AND('Saisie maison'!Q25="RSA socle",'Saisie maison'!P25&lt;&gt;"RSA socle"),AND('Saisie maison'!P25="RSA socle",'Saisie maison'!Q25&lt;&gt;"RSA socle")),IF(('Saisie maison'!H25+'Saisie maison'!I25)&gt;4,Ressources!$I$3+Ressources!$J$3*(('Saisie maison'!H25+'Saisie maison'!I25)-4),IF(('Saisie maison'!H25+'Saisie maison'!I25)=1,Ressources!$F$3,IF(('Saisie maison'!H25+'Saisie maison'!I25)=2,Ressources!$G$3,IF(('Saisie maison'!H25+'Saisie maison'!I25)=3,Ressources!$H$3,IF(('Saisie maison'!H25+'Saisie maison'!I25)=4,Ressources!$I$3,0))))))+IF(P25=Ressources!$A$3,Ressources!$B$3,IF(P25=Ressources!$A$5,Ressources!$B$5,IF(P25=Ressources!$A$6,Ressources!$B$6,IF(P25=Ressources!$A$7,Ressources!$B$7,IF(P25=Ressources!$A$8,Ressources!$B$8,IF(P25=Ressources!$A$9,Ressources!$B$9,IF(P25=Ressources!$A$10,Ressources!$B$10,IF(P25=Ressources!$A$11,Ressources!$B$11,0))))))))+IF(Q25=Ressources!$A$3,Ressources!$B$3,IF(Q25=Ressources!$A$5,Ressources!$B$5,IF(Q25=Ressources!$A$6,Ressources!$B$6,IF(Q25=Ressources!$A$7,Ressources!$B$7,IF(Q25=Ressources!$A$8,Ressources!$B$8,IF(Q25=Ressources!$A$9,Ressources!$B$9,IF(Q25=Ressources!$A$10,Ressources!$B$10,IF(Q25=Ressources!$A$11,Ressources!$B$11,0)))))))))</f>
        <v>0</v>
      </c>
      <c r="S25" s="61">
        <f>IF(AND(P25&lt;&gt;0,Q25&lt;&gt;0),IF((H25+I25)&gt;6,Ressources!$H$12+(H25+I25-6)*Ressources!$I$12+('Saisie maison'!H25-2)*Ressources!$I$13,IF((H25+I25)=6,Ressources!$H$12+('Saisie maison'!H25-2)*Ressources!$H$13,IF((H25+I25)=5,Ressources!$G$12+('Saisie maison'!H25-2)*Ressources!$G$13,IF((H25+I25)=4,Ressources!$F$12+('Saisie maison'!H25-2)*Ressources!$F$13,0)))),IF(OR(P25=0,Q25=0),IF((H25+I25)&gt;5,Ressources!$H$12+(H25+I25-5)*Ressources!$I$12+('Saisie maison'!H25-1)*Ressources!$I$13,IF((H25+I25)=5,Ressources!$H$12+('Saisie maison'!H25-1)*Ressources!$H$13,IF((H25+I25)=4,Ressources!$G$12+('Saisie maison'!H25-1)*Ressources!$G$13,IF((H25+I25)=3,Ressources!$F$12+('Saisie maison'!H25-1)*Ressources!$F$13,0))))))</f>
        <v>0</v>
      </c>
      <c r="T25" s="61"/>
      <c r="U25" s="60"/>
    </row>
    <row r="26" spans="1:21" ht="30" hidden="1" customHeight="1" x14ac:dyDescent="0.25">
      <c r="A26" s="58" t="s">
        <v>100</v>
      </c>
      <c r="B26" s="59"/>
      <c r="C26" s="60"/>
      <c r="D26" s="60"/>
      <c r="E26" s="60"/>
      <c r="F26" s="60"/>
      <c r="G26" s="60"/>
      <c r="H26" s="60"/>
      <c r="I26" s="60"/>
      <c r="J26" s="60"/>
      <c r="K26" s="60"/>
      <c r="L26" s="60"/>
      <c r="M26" s="60"/>
      <c r="N26" s="60"/>
      <c r="O26" s="60"/>
      <c r="P26" s="57" t="s">
        <v>27</v>
      </c>
      <c r="Q26" s="60"/>
      <c r="R26" s="61">
        <f>IF(AND('Saisie maison'!Q26="RSA socle",'Saisie maison'!P26="RSA socle"),IF(('Saisie maison'!H26+'Saisie maison'!I26)&gt;5,Ressources!$I$4+Ressources!$J$4*(('Saisie maison'!H26+'Saisie maison'!I26)-5),IF(('Saisie maison'!H26+'Saisie maison'!I26)=2,Ressources!$F$4,IF(('Saisie maison'!H26+'Saisie maison'!I26)=3,Ressources!$G$4,IF(('Saisie maison'!H26+'Saisie maison'!I26)=4,Ressources!$H$4,IF(('Saisie maison'!H26+'Saisie maison'!I26)=5,Ressources!$I$4,0))))), IF(OR(AND('Saisie maison'!Q26="RSA socle",'Saisie maison'!P26&lt;&gt;"RSA socle"),AND('Saisie maison'!P26="RSA socle",'Saisie maison'!Q26&lt;&gt;"RSA socle")),IF(('Saisie maison'!H26+'Saisie maison'!I26)&gt;4,Ressources!$I$3+Ressources!$J$3*(('Saisie maison'!H26+'Saisie maison'!I26)-4),IF(('Saisie maison'!H26+'Saisie maison'!I26)=1,Ressources!$F$3,IF(('Saisie maison'!H26+'Saisie maison'!I26)=2,Ressources!$G$3,IF(('Saisie maison'!H26+'Saisie maison'!I26)=3,Ressources!$H$3,IF(('Saisie maison'!H26+'Saisie maison'!I26)=4,Ressources!$I$3,0))))))+IF(P26=Ressources!$A$3,Ressources!$B$3,IF(P26=Ressources!$A$5,Ressources!$B$5,IF(P26=Ressources!$A$6,Ressources!$B$6,IF(P26=Ressources!$A$7,Ressources!$B$7,IF(P26=Ressources!$A$8,Ressources!$B$8,IF(P26=Ressources!$A$9,Ressources!$B$9,IF(P26=Ressources!$A$10,Ressources!$B$10,IF(P26=Ressources!$A$11,Ressources!$B$11,0))))))))+IF(Q26=Ressources!$A$3,Ressources!$B$3,IF(Q26=Ressources!$A$5,Ressources!$B$5,IF(Q26=Ressources!$A$6,Ressources!$B$6,IF(Q26=Ressources!$A$7,Ressources!$B$7,IF(Q26=Ressources!$A$8,Ressources!$B$8,IF(Q26=Ressources!$A$9,Ressources!$B$9,IF(Q26=Ressources!$A$10,Ressources!$B$10,IF(Q26=Ressources!$A$11,Ressources!$B$11,0)))))))))</f>
        <v>0</v>
      </c>
      <c r="S26" s="61">
        <f>IF(AND(P26&lt;&gt;0,Q26&lt;&gt;0),IF((H26+I26)&gt;6,Ressources!$H$12+(H26+I26-6)*Ressources!$I$12+('Saisie maison'!H26-2)*Ressources!$I$13,IF((H26+I26)=6,Ressources!$H$12+('Saisie maison'!H26-2)*Ressources!$H$13,IF((H26+I26)=5,Ressources!$G$12+('Saisie maison'!H26-2)*Ressources!$G$13,IF((H26+I26)=4,Ressources!$F$12+('Saisie maison'!H26-2)*Ressources!$F$13,0)))),IF(OR(P26=0,Q26=0),IF((H26+I26)&gt;5,Ressources!$H$12+(H26+I26-5)*Ressources!$I$12+('Saisie maison'!H26-1)*Ressources!$I$13,IF((H26+I26)=5,Ressources!$H$12+('Saisie maison'!H26-1)*Ressources!$H$13,IF((H26+I26)=4,Ressources!$G$12+('Saisie maison'!H26-1)*Ressources!$G$13,IF((H26+I26)=3,Ressources!$F$12+('Saisie maison'!H26-1)*Ressources!$F$13,0))))))</f>
        <v>0</v>
      </c>
      <c r="T26" s="61"/>
      <c r="U26" s="60"/>
    </row>
    <row r="27" spans="1:21" ht="30" hidden="1" customHeight="1" x14ac:dyDescent="0.25">
      <c r="A27" s="58" t="s">
        <v>101</v>
      </c>
      <c r="B27" s="59"/>
      <c r="C27" s="60"/>
      <c r="D27" s="60"/>
      <c r="E27" s="60"/>
      <c r="F27" s="60"/>
      <c r="G27" s="60"/>
      <c r="H27" s="60"/>
      <c r="I27" s="60"/>
      <c r="J27" s="60"/>
      <c r="K27" s="60"/>
      <c r="L27" s="60"/>
      <c r="M27" s="60"/>
      <c r="N27" s="60"/>
      <c r="O27" s="60"/>
      <c r="P27" s="57" t="s">
        <v>27</v>
      </c>
      <c r="Q27" s="60"/>
      <c r="R27" s="61">
        <f>IF(AND('Saisie maison'!Q27="RSA socle",'Saisie maison'!P27="RSA socle"),IF(('Saisie maison'!H27+'Saisie maison'!I27)&gt;5,Ressources!$I$4+Ressources!$J$4*(('Saisie maison'!H27+'Saisie maison'!I27)-5),IF(('Saisie maison'!H27+'Saisie maison'!I27)=2,Ressources!$F$4,IF(('Saisie maison'!H27+'Saisie maison'!I27)=3,Ressources!$G$4,IF(('Saisie maison'!H27+'Saisie maison'!I27)=4,Ressources!$H$4,IF(('Saisie maison'!H27+'Saisie maison'!I27)=5,Ressources!$I$4,0))))), IF(OR(AND('Saisie maison'!Q27="RSA socle",'Saisie maison'!P27&lt;&gt;"RSA socle"),AND('Saisie maison'!P27="RSA socle",'Saisie maison'!Q27&lt;&gt;"RSA socle")),IF(('Saisie maison'!H27+'Saisie maison'!I27)&gt;4,Ressources!$I$3+Ressources!$J$3*(('Saisie maison'!H27+'Saisie maison'!I27)-4),IF(('Saisie maison'!H27+'Saisie maison'!I27)=1,Ressources!$F$3,IF(('Saisie maison'!H27+'Saisie maison'!I27)=2,Ressources!$G$3,IF(('Saisie maison'!H27+'Saisie maison'!I27)=3,Ressources!$H$3,IF(('Saisie maison'!H27+'Saisie maison'!I27)=4,Ressources!$I$3,0))))))+IF(P27=Ressources!$A$3,Ressources!$B$3,IF(P27=Ressources!$A$5,Ressources!$B$5,IF(P27=Ressources!$A$6,Ressources!$B$6,IF(P27=Ressources!$A$7,Ressources!$B$7,IF(P27=Ressources!$A$8,Ressources!$B$8,IF(P27=Ressources!$A$9,Ressources!$B$9,IF(P27=Ressources!$A$10,Ressources!$B$10,IF(P27=Ressources!$A$11,Ressources!$B$11,0))))))))+IF(Q27=Ressources!$A$3,Ressources!$B$3,IF(Q27=Ressources!$A$5,Ressources!$B$5,IF(Q27=Ressources!$A$6,Ressources!$B$6,IF(Q27=Ressources!$A$7,Ressources!$B$7,IF(Q27=Ressources!$A$8,Ressources!$B$8,IF(Q27=Ressources!$A$9,Ressources!$B$9,IF(Q27=Ressources!$A$10,Ressources!$B$10,IF(Q27=Ressources!$A$11,Ressources!$B$11,0)))))))))</f>
        <v>0</v>
      </c>
      <c r="S27" s="61">
        <f>IF(AND(P27&lt;&gt;0,Q27&lt;&gt;0),IF((H27+I27)&gt;6,Ressources!$H$12+(H27+I27-6)*Ressources!$I$12+('Saisie maison'!H27-2)*Ressources!$I$13,IF((H27+I27)=6,Ressources!$H$12+('Saisie maison'!H27-2)*Ressources!$H$13,IF((H27+I27)=5,Ressources!$G$12+('Saisie maison'!H27-2)*Ressources!$G$13,IF((H27+I27)=4,Ressources!$F$12+('Saisie maison'!H27-2)*Ressources!$F$13,0)))),IF(OR(P27=0,Q27=0),IF((H27+I27)&gt;5,Ressources!$H$12+(H27+I27-5)*Ressources!$I$12+('Saisie maison'!H27-1)*Ressources!$I$13,IF((H27+I27)=5,Ressources!$H$12+('Saisie maison'!H27-1)*Ressources!$H$13,IF((H27+I27)=4,Ressources!$G$12+('Saisie maison'!H27-1)*Ressources!$G$13,IF((H27+I27)=3,Ressources!$F$12+('Saisie maison'!H27-1)*Ressources!$F$13,0))))))</f>
        <v>0</v>
      </c>
      <c r="T27" s="61"/>
      <c r="U27" s="60"/>
    </row>
    <row r="28" spans="1:21" ht="30" hidden="1" customHeight="1" x14ac:dyDescent="0.25">
      <c r="A28" s="58" t="s">
        <v>102</v>
      </c>
      <c r="B28" s="59"/>
      <c r="C28" s="60"/>
      <c r="D28" s="60"/>
      <c r="E28" s="60"/>
      <c r="F28" s="60"/>
      <c r="G28" s="60"/>
      <c r="H28" s="60"/>
      <c r="I28" s="60"/>
      <c r="J28" s="60"/>
      <c r="K28" s="60"/>
      <c r="L28" s="60"/>
      <c r="M28" s="60"/>
      <c r="N28" s="60"/>
      <c r="O28" s="60"/>
      <c r="P28" s="57" t="s">
        <v>27</v>
      </c>
      <c r="Q28" s="60"/>
      <c r="R28" s="61">
        <f>IF(AND('Saisie maison'!Q28="RSA socle",'Saisie maison'!P28="RSA socle"),IF(('Saisie maison'!H28+'Saisie maison'!I28)&gt;5,Ressources!$I$4+Ressources!$J$4*(('Saisie maison'!H28+'Saisie maison'!I28)-5),IF(('Saisie maison'!H28+'Saisie maison'!I28)=2,Ressources!$F$4,IF(('Saisie maison'!H28+'Saisie maison'!I28)=3,Ressources!$G$4,IF(('Saisie maison'!H28+'Saisie maison'!I28)=4,Ressources!$H$4,IF(('Saisie maison'!H28+'Saisie maison'!I28)=5,Ressources!$I$4,0))))), IF(OR(AND('Saisie maison'!Q28="RSA socle",'Saisie maison'!P28&lt;&gt;"RSA socle"),AND('Saisie maison'!P28="RSA socle",'Saisie maison'!Q28&lt;&gt;"RSA socle")),IF(('Saisie maison'!H28+'Saisie maison'!I28)&gt;4,Ressources!$I$3+Ressources!$J$3*(('Saisie maison'!H28+'Saisie maison'!I28)-4),IF(('Saisie maison'!H28+'Saisie maison'!I28)=1,Ressources!$F$3,IF(('Saisie maison'!H28+'Saisie maison'!I28)=2,Ressources!$G$3,IF(('Saisie maison'!H28+'Saisie maison'!I28)=3,Ressources!$H$3,IF(('Saisie maison'!H28+'Saisie maison'!I28)=4,Ressources!$I$3,0))))))+IF(P28=Ressources!$A$3,Ressources!$B$3,IF(P28=Ressources!$A$5,Ressources!$B$5,IF(P28=Ressources!$A$6,Ressources!$B$6,IF(P28=Ressources!$A$7,Ressources!$B$7,IF(P28=Ressources!$A$8,Ressources!$B$8,IF(P28=Ressources!$A$9,Ressources!$B$9,IF(P28=Ressources!$A$10,Ressources!$B$10,IF(P28=Ressources!$A$11,Ressources!$B$11,0))))))))+IF(Q28=Ressources!$A$3,Ressources!$B$3,IF(Q28=Ressources!$A$5,Ressources!$B$5,IF(Q28=Ressources!$A$6,Ressources!$B$6,IF(Q28=Ressources!$A$7,Ressources!$B$7,IF(Q28=Ressources!$A$8,Ressources!$B$8,IF(Q28=Ressources!$A$9,Ressources!$B$9,IF(Q28=Ressources!$A$10,Ressources!$B$10,IF(Q28=Ressources!$A$11,Ressources!$B$11,0)))))))))</f>
        <v>0</v>
      </c>
      <c r="S28" s="61">
        <f>IF(AND(P28&lt;&gt;0,Q28&lt;&gt;0),IF((H28+I28)&gt;6,Ressources!$H$12+(H28+I28-6)*Ressources!$I$12+('Saisie maison'!H28-2)*Ressources!$I$13,IF((H28+I28)=6,Ressources!$H$12+('Saisie maison'!H28-2)*Ressources!$H$13,IF((H28+I28)=5,Ressources!$G$12+('Saisie maison'!H28-2)*Ressources!$G$13,IF((H28+I28)=4,Ressources!$F$12+('Saisie maison'!H28-2)*Ressources!$F$13,0)))),IF(OR(P28=0,Q28=0),IF((H28+I28)&gt;5,Ressources!$H$12+(H28+I28-5)*Ressources!$I$12+('Saisie maison'!H28-1)*Ressources!$I$13,IF((H28+I28)=5,Ressources!$H$12+('Saisie maison'!H28-1)*Ressources!$H$13,IF((H28+I28)=4,Ressources!$G$12+('Saisie maison'!H28-1)*Ressources!$G$13,IF((H28+I28)=3,Ressources!$F$12+('Saisie maison'!H28-1)*Ressources!$F$13,0))))))</f>
        <v>0</v>
      </c>
      <c r="T28" s="61"/>
      <c r="U28" s="60"/>
    </row>
    <row r="29" spans="1:21" ht="30" hidden="1" customHeight="1" x14ac:dyDescent="0.25">
      <c r="A29" s="58" t="s">
        <v>103</v>
      </c>
      <c r="B29" s="59"/>
      <c r="C29" s="60"/>
      <c r="D29" s="60"/>
      <c r="E29" s="60"/>
      <c r="F29" s="60"/>
      <c r="G29" s="60"/>
      <c r="H29" s="60"/>
      <c r="I29" s="60"/>
      <c r="J29" s="60"/>
      <c r="K29" s="60"/>
      <c r="L29" s="60"/>
      <c r="M29" s="60"/>
      <c r="N29" s="60"/>
      <c r="O29" s="60"/>
      <c r="P29" s="57" t="s">
        <v>27</v>
      </c>
      <c r="Q29" s="60"/>
      <c r="R29" s="61">
        <f>IF(AND('Saisie maison'!Q29="RSA socle",'Saisie maison'!P29="RSA socle"),IF(('Saisie maison'!H29+'Saisie maison'!I29)&gt;5,Ressources!$I$4+Ressources!$J$4*(('Saisie maison'!H29+'Saisie maison'!I29)-5),IF(('Saisie maison'!H29+'Saisie maison'!I29)=2,Ressources!$F$4,IF(('Saisie maison'!H29+'Saisie maison'!I29)=3,Ressources!$G$4,IF(('Saisie maison'!H29+'Saisie maison'!I29)=4,Ressources!$H$4,IF(('Saisie maison'!H29+'Saisie maison'!I29)=5,Ressources!$I$4,0))))), IF(OR(AND('Saisie maison'!Q29="RSA socle",'Saisie maison'!P29&lt;&gt;"RSA socle"),AND('Saisie maison'!P29="RSA socle",'Saisie maison'!Q29&lt;&gt;"RSA socle")),IF(('Saisie maison'!H29+'Saisie maison'!I29)&gt;4,Ressources!$I$3+Ressources!$J$3*(('Saisie maison'!H29+'Saisie maison'!I29)-4),IF(('Saisie maison'!H29+'Saisie maison'!I29)=1,Ressources!$F$3,IF(('Saisie maison'!H29+'Saisie maison'!I29)=2,Ressources!$G$3,IF(('Saisie maison'!H29+'Saisie maison'!I29)=3,Ressources!$H$3,IF(('Saisie maison'!H29+'Saisie maison'!I29)=4,Ressources!$I$3,0))))))+IF(P29=Ressources!$A$3,Ressources!$B$3,IF(P29=Ressources!$A$5,Ressources!$B$5,IF(P29=Ressources!$A$6,Ressources!$B$6,IF(P29=Ressources!$A$7,Ressources!$B$7,IF(P29=Ressources!$A$8,Ressources!$B$8,IF(P29=Ressources!$A$9,Ressources!$B$9,IF(P29=Ressources!$A$10,Ressources!$B$10,IF(P29=Ressources!$A$11,Ressources!$B$11,0))))))))+IF(Q29=Ressources!$A$3,Ressources!$B$3,IF(Q29=Ressources!$A$5,Ressources!$B$5,IF(Q29=Ressources!$A$6,Ressources!$B$6,IF(Q29=Ressources!$A$7,Ressources!$B$7,IF(Q29=Ressources!$A$8,Ressources!$B$8,IF(Q29=Ressources!$A$9,Ressources!$B$9,IF(Q29=Ressources!$A$10,Ressources!$B$10,IF(Q29=Ressources!$A$11,Ressources!$B$11,0)))))))))</f>
        <v>0</v>
      </c>
      <c r="S29" s="61">
        <f>IF(AND(P29&lt;&gt;0,Q29&lt;&gt;0),IF((H29+I29)&gt;6,Ressources!$H$12+(H29+I29-6)*Ressources!$I$12+('Saisie maison'!H29-2)*Ressources!$I$13,IF((H29+I29)=6,Ressources!$H$12+('Saisie maison'!H29-2)*Ressources!$H$13,IF((H29+I29)=5,Ressources!$G$12+('Saisie maison'!H29-2)*Ressources!$G$13,IF((H29+I29)=4,Ressources!$F$12+('Saisie maison'!H29-2)*Ressources!$F$13,0)))),IF(OR(P29=0,Q29=0),IF((H29+I29)&gt;5,Ressources!$H$12+(H29+I29-5)*Ressources!$I$12+('Saisie maison'!H29-1)*Ressources!$I$13,IF((H29+I29)=5,Ressources!$H$12+('Saisie maison'!H29-1)*Ressources!$H$13,IF((H29+I29)=4,Ressources!$G$12+('Saisie maison'!H29-1)*Ressources!$G$13,IF((H29+I29)=3,Ressources!$F$12+('Saisie maison'!H29-1)*Ressources!$F$13,0))))))</f>
        <v>0</v>
      </c>
      <c r="T29" s="61"/>
      <c r="U29" s="60"/>
    </row>
    <row r="30" spans="1:21" ht="30" hidden="1" customHeight="1" x14ac:dyDescent="0.25">
      <c r="A30" s="58" t="s">
        <v>104</v>
      </c>
      <c r="B30" s="59"/>
      <c r="C30" s="60"/>
      <c r="D30" s="60"/>
      <c r="E30" s="60"/>
      <c r="F30" s="60"/>
      <c r="G30" s="60"/>
      <c r="H30" s="60"/>
      <c r="I30" s="60"/>
      <c r="J30" s="60"/>
      <c r="K30" s="60"/>
      <c r="L30" s="60"/>
      <c r="M30" s="60"/>
      <c r="N30" s="60"/>
      <c r="O30" s="60"/>
      <c r="P30" s="57" t="s">
        <v>27</v>
      </c>
      <c r="Q30" s="60"/>
      <c r="R30" s="61">
        <f>IF(AND('Saisie maison'!Q30="RSA socle",'Saisie maison'!P30="RSA socle"),IF(('Saisie maison'!H30+'Saisie maison'!I30)&gt;5,Ressources!$I$4+Ressources!$J$4*(('Saisie maison'!H30+'Saisie maison'!I30)-5),IF(('Saisie maison'!H30+'Saisie maison'!I30)=2,Ressources!$F$4,IF(('Saisie maison'!H30+'Saisie maison'!I30)=3,Ressources!$G$4,IF(('Saisie maison'!H30+'Saisie maison'!I30)=4,Ressources!$H$4,IF(('Saisie maison'!H30+'Saisie maison'!I30)=5,Ressources!$I$4,0))))), IF(OR(AND('Saisie maison'!Q30="RSA socle",'Saisie maison'!P30&lt;&gt;"RSA socle"),AND('Saisie maison'!P30="RSA socle",'Saisie maison'!Q30&lt;&gt;"RSA socle")),IF(('Saisie maison'!H30+'Saisie maison'!I30)&gt;4,Ressources!$I$3+Ressources!$J$3*(('Saisie maison'!H30+'Saisie maison'!I30)-4),IF(('Saisie maison'!H30+'Saisie maison'!I30)=1,Ressources!$F$3,IF(('Saisie maison'!H30+'Saisie maison'!I30)=2,Ressources!$G$3,IF(('Saisie maison'!H30+'Saisie maison'!I30)=3,Ressources!$H$3,IF(('Saisie maison'!H30+'Saisie maison'!I30)=4,Ressources!$I$3,0))))))+IF(P30=Ressources!$A$3,Ressources!$B$3,IF(P30=Ressources!$A$5,Ressources!$B$5,IF(P30=Ressources!$A$6,Ressources!$B$6,IF(P30=Ressources!$A$7,Ressources!$B$7,IF(P30=Ressources!$A$8,Ressources!$B$8,IF(P30=Ressources!$A$9,Ressources!$B$9,IF(P30=Ressources!$A$10,Ressources!$B$10,IF(P30=Ressources!$A$11,Ressources!$B$11,0))))))))+IF(Q30=Ressources!$A$3,Ressources!$B$3,IF(Q30=Ressources!$A$5,Ressources!$B$5,IF(Q30=Ressources!$A$6,Ressources!$B$6,IF(Q30=Ressources!$A$7,Ressources!$B$7,IF(Q30=Ressources!$A$8,Ressources!$B$8,IF(Q30=Ressources!$A$9,Ressources!$B$9,IF(Q30=Ressources!$A$10,Ressources!$B$10,IF(Q30=Ressources!$A$11,Ressources!$B$11,0)))))))))</f>
        <v>0</v>
      </c>
      <c r="S30" s="61">
        <f>IF(AND(P30&lt;&gt;0,Q30&lt;&gt;0),IF((H30+I30)&gt;6,Ressources!$H$12+(H30+I30-6)*Ressources!$I$12+('Saisie maison'!H30-2)*Ressources!$I$13,IF((H30+I30)=6,Ressources!$H$12+('Saisie maison'!H30-2)*Ressources!$H$13,IF((H30+I30)=5,Ressources!$G$12+('Saisie maison'!H30-2)*Ressources!$G$13,IF((H30+I30)=4,Ressources!$F$12+('Saisie maison'!H30-2)*Ressources!$F$13,0)))),IF(OR(P30=0,Q30=0),IF((H30+I30)&gt;5,Ressources!$H$12+(H30+I30-5)*Ressources!$I$12+('Saisie maison'!H30-1)*Ressources!$I$13,IF((H30+I30)=5,Ressources!$H$12+('Saisie maison'!H30-1)*Ressources!$H$13,IF((H30+I30)=4,Ressources!$G$12+('Saisie maison'!H30-1)*Ressources!$G$13,IF((H30+I30)=3,Ressources!$F$12+('Saisie maison'!H30-1)*Ressources!$F$13,0))))))</f>
        <v>0</v>
      </c>
      <c r="T30" s="61"/>
      <c r="U30" s="60"/>
    </row>
    <row r="31" spans="1:21" ht="30" hidden="1" customHeight="1" x14ac:dyDescent="0.25">
      <c r="A31" s="58" t="s">
        <v>105</v>
      </c>
      <c r="B31" s="59"/>
      <c r="C31" s="60"/>
      <c r="D31" s="60"/>
      <c r="E31" s="60"/>
      <c r="F31" s="60"/>
      <c r="G31" s="60"/>
      <c r="H31" s="60"/>
      <c r="I31" s="60"/>
      <c r="J31" s="60"/>
      <c r="K31" s="60"/>
      <c r="L31" s="60"/>
      <c r="M31" s="60"/>
      <c r="N31" s="60"/>
      <c r="O31" s="60"/>
      <c r="P31" s="57" t="s">
        <v>27</v>
      </c>
      <c r="Q31" s="60"/>
      <c r="R31" s="61">
        <f>IF(AND('Saisie maison'!Q31="RSA socle",'Saisie maison'!P31="RSA socle"),IF(('Saisie maison'!H31+'Saisie maison'!I31)&gt;5,Ressources!$I$4+Ressources!$J$4*(('Saisie maison'!H31+'Saisie maison'!I31)-5),IF(('Saisie maison'!H31+'Saisie maison'!I31)=2,Ressources!$F$4,IF(('Saisie maison'!H31+'Saisie maison'!I31)=3,Ressources!$G$4,IF(('Saisie maison'!H31+'Saisie maison'!I31)=4,Ressources!$H$4,IF(('Saisie maison'!H31+'Saisie maison'!I31)=5,Ressources!$I$4,0))))), IF(OR(AND('Saisie maison'!Q31="RSA socle",'Saisie maison'!P31&lt;&gt;"RSA socle"),AND('Saisie maison'!P31="RSA socle",'Saisie maison'!Q31&lt;&gt;"RSA socle")),IF(('Saisie maison'!H31+'Saisie maison'!I31)&gt;4,Ressources!$I$3+Ressources!$J$3*(('Saisie maison'!H31+'Saisie maison'!I31)-4),IF(('Saisie maison'!H31+'Saisie maison'!I31)=1,Ressources!$F$3,IF(('Saisie maison'!H31+'Saisie maison'!I31)=2,Ressources!$G$3,IF(('Saisie maison'!H31+'Saisie maison'!I31)=3,Ressources!$H$3,IF(('Saisie maison'!H31+'Saisie maison'!I31)=4,Ressources!$I$3,0))))))+IF(P31=Ressources!$A$3,Ressources!$B$3,IF(P31=Ressources!$A$5,Ressources!$B$5,IF(P31=Ressources!$A$6,Ressources!$B$6,IF(P31=Ressources!$A$7,Ressources!$B$7,IF(P31=Ressources!$A$8,Ressources!$B$8,IF(P31=Ressources!$A$9,Ressources!$B$9,IF(P31=Ressources!$A$10,Ressources!$B$10,IF(P31=Ressources!$A$11,Ressources!$B$11,0))))))))+IF(Q31=Ressources!$A$3,Ressources!$B$3,IF(Q31=Ressources!$A$5,Ressources!$B$5,IF(Q31=Ressources!$A$6,Ressources!$B$6,IF(Q31=Ressources!$A$7,Ressources!$B$7,IF(Q31=Ressources!$A$8,Ressources!$B$8,IF(Q31=Ressources!$A$9,Ressources!$B$9,IF(Q31=Ressources!$A$10,Ressources!$B$10,IF(Q31=Ressources!$A$11,Ressources!$B$11,0)))))))))</f>
        <v>0</v>
      </c>
      <c r="S31" s="61">
        <f>IF(AND(P31&lt;&gt;0,Q31&lt;&gt;0),IF((H31+I31)&gt;6,Ressources!$H$12+(H31+I31-6)*Ressources!$I$12+('Saisie maison'!H31-2)*Ressources!$I$13,IF((H31+I31)=6,Ressources!$H$12+('Saisie maison'!H31-2)*Ressources!$H$13,IF((H31+I31)=5,Ressources!$G$12+('Saisie maison'!H31-2)*Ressources!$G$13,IF((H31+I31)=4,Ressources!$F$12+('Saisie maison'!H31-2)*Ressources!$F$13,0)))),IF(OR(P31=0,Q31=0),IF((H31+I31)&gt;5,Ressources!$H$12+(H31+I31-5)*Ressources!$I$12+('Saisie maison'!H31-1)*Ressources!$I$13,IF((H31+I31)=5,Ressources!$H$12+('Saisie maison'!H31-1)*Ressources!$H$13,IF((H31+I31)=4,Ressources!$G$12+('Saisie maison'!H31-1)*Ressources!$G$13,IF((H31+I31)=3,Ressources!$F$12+('Saisie maison'!H31-1)*Ressources!$F$13,0))))))</f>
        <v>0</v>
      </c>
      <c r="T31" s="61"/>
      <c r="U31" s="60"/>
    </row>
    <row r="32" spans="1:21" ht="30" hidden="1" customHeight="1" x14ac:dyDescent="0.25">
      <c r="A32" s="58" t="s">
        <v>106</v>
      </c>
      <c r="B32" s="59"/>
      <c r="C32" s="60"/>
      <c r="D32" s="60"/>
      <c r="E32" s="60"/>
      <c r="F32" s="60"/>
      <c r="G32" s="60"/>
      <c r="H32" s="60"/>
      <c r="I32" s="60"/>
      <c r="J32" s="60"/>
      <c r="K32" s="60"/>
      <c r="L32" s="60"/>
      <c r="M32" s="60"/>
      <c r="N32" s="60"/>
      <c r="O32" s="60"/>
      <c r="P32" s="57" t="s">
        <v>27</v>
      </c>
      <c r="Q32" s="60"/>
      <c r="R32" s="61">
        <f>IF(AND('Saisie maison'!Q32="RSA socle",'Saisie maison'!P32="RSA socle"),IF(('Saisie maison'!H32+'Saisie maison'!I32)&gt;5,Ressources!$I$4+Ressources!$J$4*(('Saisie maison'!H32+'Saisie maison'!I32)-5),IF(('Saisie maison'!H32+'Saisie maison'!I32)=2,Ressources!$F$4,IF(('Saisie maison'!H32+'Saisie maison'!I32)=3,Ressources!$G$4,IF(('Saisie maison'!H32+'Saisie maison'!I32)=4,Ressources!$H$4,IF(('Saisie maison'!H32+'Saisie maison'!I32)=5,Ressources!$I$4,0))))), IF(OR(AND('Saisie maison'!Q32="RSA socle",'Saisie maison'!P32&lt;&gt;"RSA socle"),AND('Saisie maison'!P32="RSA socle",'Saisie maison'!Q32&lt;&gt;"RSA socle")),IF(('Saisie maison'!H32+'Saisie maison'!I32)&gt;4,Ressources!$I$3+Ressources!$J$3*(('Saisie maison'!H32+'Saisie maison'!I32)-4),IF(('Saisie maison'!H32+'Saisie maison'!I32)=1,Ressources!$F$3,IF(('Saisie maison'!H32+'Saisie maison'!I32)=2,Ressources!$G$3,IF(('Saisie maison'!H32+'Saisie maison'!I32)=3,Ressources!$H$3,IF(('Saisie maison'!H32+'Saisie maison'!I32)=4,Ressources!$I$3,0))))))+IF(P32=Ressources!$A$3,Ressources!$B$3,IF(P32=Ressources!$A$5,Ressources!$B$5,IF(P32=Ressources!$A$6,Ressources!$B$6,IF(P32=Ressources!$A$7,Ressources!$B$7,IF(P32=Ressources!$A$8,Ressources!$B$8,IF(P32=Ressources!$A$9,Ressources!$B$9,IF(P32=Ressources!$A$10,Ressources!$B$10,IF(P32=Ressources!$A$11,Ressources!$B$11,0))))))))+IF(Q32=Ressources!$A$3,Ressources!$B$3,IF(Q32=Ressources!$A$5,Ressources!$B$5,IF(Q32=Ressources!$A$6,Ressources!$B$6,IF(Q32=Ressources!$A$7,Ressources!$B$7,IF(Q32=Ressources!$A$8,Ressources!$B$8,IF(Q32=Ressources!$A$9,Ressources!$B$9,IF(Q32=Ressources!$A$10,Ressources!$B$10,IF(Q32=Ressources!$A$11,Ressources!$B$11,0)))))))))</f>
        <v>0</v>
      </c>
      <c r="S32" s="61">
        <f>IF(AND(P32&lt;&gt;0,Q32&lt;&gt;0),IF((H32+I32)&gt;6,Ressources!$H$12+(H32+I32-6)*Ressources!$I$12+('Saisie maison'!H32-2)*Ressources!$I$13,IF((H32+I32)=6,Ressources!$H$12+('Saisie maison'!H32-2)*Ressources!$H$13,IF((H32+I32)=5,Ressources!$G$12+('Saisie maison'!H32-2)*Ressources!$G$13,IF((H32+I32)=4,Ressources!$F$12+('Saisie maison'!H32-2)*Ressources!$F$13,0)))),IF(OR(P32=0,Q32=0),IF((H32+I32)&gt;5,Ressources!$H$12+(H32+I32-5)*Ressources!$I$12+('Saisie maison'!H32-1)*Ressources!$I$13,IF((H32+I32)=5,Ressources!$H$12+('Saisie maison'!H32-1)*Ressources!$H$13,IF((H32+I32)=4,Ressources!$G$12+('Saisie maison'!H32-1)*Ressources!$G$13,IF((H32+I32)=3,Ressources!$F$12+('Saisie maison'!H32-1)*Ressources!$F$13,0))))))</f>
        <v>0</v>
      </c>
      <c r="T32" s="61"/>
      <c r="U32" s="60"/>
    </row>
    <row r="33" spans="1:21" ht="30" hidden="1" customHeight="1" x14ac:dyDescent="0.25">
      <c r="A33" s="58" t="s">
        <v>107</v>
      </c>
      <c r="B33" s="59"/>
      <c r="C33" s="60"/>
      <c r="D33" s="60"/>
      <c r="E33" s="60"/>
      <c r="F33" s="60"/>
      <c r="G33" s="60"/>
      <c r="H33" s="60"/>
      <c r="I33" s="60"/>
      <c r="J33" s="60"/>
      <c r="K33" s="60"/>
      <c r="L33" s="60"/>
      <c r="M33" s="60"/>
      <c r="N33" s="60"/>
      <c r="O33" s="60"/>
      <c r="P33" s="57" t="s">
        <v>27</v>
      </c>
      <c r="Q33" s="60"/>
      <c r="R33" s="61">
        <f>IF(AND('Saisie maison'!Q33="RSA socle",'Saisie maison'!P33="RSA socle"),IF(('Saisie maison'!H33+'Saisie maison'!I33)&gt;5,Ressources!$I$4+Ressources!$J$4*(('Saisie maison'!H33+'Saisie maison'!I33)-5),IF(('Saisie maison'!H33+'Saisie maison'!I33)=2,Ressources!$F$4,IF(('Saisie maison'!H33+'Saisie maison'!I33)=3,Ressources!$G$4,IF(('Saisie maison'!H33+'Saisie maison'!I33)=4,Ressources!$H$4,IF(('Saisie maison'!H33+'Saisie maison'!I33)=5,Ressources!$I$4,0))))), IF(OR(AND('Saisie maison'!Q33="RSA socle",'Saisie maison'!P33&lt;&gt;"RSA socle"),AND('Saisie maison'!P33="RSA socle",'Saisie maison'!Q33&lt;&gt;"RSA socle")),IF(('Saisie maison'!H33+'Saisie maison'!I33)&gt;4,Ressources!$I$3+Ressources!$J$3*(('Saisie maison'!H33+'Saisie maison'!I33)-4),IF(('Saisie maison'!H33+'Saisie maison'!I33)=1,Ressources!$F$3,IF(('Saisie maison'!H33+'Saisie maison'!I33)=2,Ressources!$G$3,IF(('Saisie maison'!H33+'Saisie maison'!I33)=3,Ressources!$H$3,IF(('Saisie maison'!H33+'Saisie maison'!I33)=4,Ressources!$I$3,0))))))+IF(P33=Ressources!$A$3,Ressources!$B$3,IF(P33=Ressources!$A$5,Ressources!$B$5,IF(P33=Ressources!$A$6,Ressources!$B$6,IF(P33=Ressources!$A$7,Ressources!$B$7,IF(P33=Ressources!$A$8,Ressources!$B$8,IF(P33=Ressources!$A$9,Ressources!$B$9,IF(P33=Ressources!$A$10,Ressources!$B$10,IF(P33=Ressources!$A$11,Ressources!$B$11,0))))))))+IF(Q33=Ressources!$A$3,Ressources!$B$3,IF(Q33=Ressources!$A$5,Ressources!$B$5,IF(Q33=Ressources!$A$6,Ressources!$B$6,IF(Q33=Ressources!$A$7,Ressources!$B$7,IF(Q33=Ressources!$A$8,Ressources!$B$8,IF(Q33=Ressources!$A$9,Ressources!$B$9,IF(Q33=Ressources!$A$10,Ressources!$B$10,IF(Q33=Ressources!$A$11,Ressources!$B$11,0)))))))))</f>
        <v>0</v>
      </c>
      <c r="S33" s="61">
        <f>IF(AND(P33&lt;&gt;0,Q33&lt;&gt;0),IF((H33+I33)&gt;6,Ressources!$H$12+(H33+I33-6)*Ressources!$I$12+('Saisie maison'!H33-2)*Ressources!$I$13,IF((H33+I33)=6,Ressources!$H$12+('Saisie maison'!H33-2)*Ressources!$H$13,IF((H33+I33)=5,Ressources!$G$12+('Saisie maison'!H33-2)*Ressources!$G$13,IF((H33+I33)=4,Ressources!$F$12+('Saisie maison'!H33-2)*Ressources!$F$13,0)))),IF(OR(P33=0,Q33=0),IF((H33+I33)&gt;5,Ressources!$H$12+(H33+I33-5)*Ressources!$I$12+('Saisie maison'!H33-1)*Ressources!$I$13,IF((H33+I33)=5,Ressources!$H$12+('Saisie maison'!H33-1)*Ressources!$H$13,IF((H33+I33)=4,Ressources!$G$12+('Saisie maison'!H33-1)*Ressources!$G$13,IF((H33+I33)=3,Ressources!$F$12+('Saisie maison'!H33-1)*Ressources!$F$13,0))))))</f>
        <v>0</v>
      </c>
      <c r="T33" s="61"/>
      <c r="U33" s="60"/>
    </row>
    <row r="34" spans="1:21" ht="30" hidden="1" customHeight="1" x14ac:dyDescent="0.25">
      <c r="A34" s="58" t="s">
        <v>108</v>
      </c>
      <c r="B34" s="59"/>
      <c r="C34" s="60"/>
      <c r="D34" s="60"/>
      <c r="E34" s="60"/>
      <c r="F34" s="60"/>
      <c r="G34" s="60"/>
      <c r="H34" s="60"/>
      <c r="I34" s="60"/>
      <c r="J34" s="60"/>
      <c r="K34" s="60"/>
      <c r="L34" s="60"/>
      <c r="M34" s="60"/>
      <c r="N34" s="60"/>
      <c r="O34" s="60"/>
      <c r="P34" s="57" t="s">
        <v>27</v>
      </c>
      <c r="Q34" s="60"/>
      <c r="R34" s="61">
        <f>IF(AND('Saisie maison'!Q34="RSA socle",'Saisie maison'!P34="RSA socle"),IF(('Saisie maison'!H34+'Saisie maison'!I34)&gt;5,Ressources!$I$4+Ressources!$J$4*(('Saisie maison'!H34+'Saisie maison'!I34)-5),IF(('Saisie maison'!H34+'Saisie maison'!I34)=2,Ressources!$F$4,IF(('Saisie maison'!H34+'Saisie maison'!I34)=3,Ressources!$G$4,IF(('Saisie maison'!H34+'Saisie maison'!I34)=4,Ressources!$H$4,IF(('Saisie maison'!H34+'Saisie maison'!I34)=5,Ressources!$I$4,0))))), IF(OR(AND('Saisie maison'!Q34="RSA socle",'Saisie maison'!P34&lt;&gt;"RSA socle"),AND('Saisie maison'!P34="RSA socle",'Saisie maison'!Q34&lt;&gt;"RSA socle")),IF(('Saisie maison'!H34+'Saisie maison'!I34)&gt;4,Ressources!$I$3+Ressources!$J$3*(('Saisie maison'!H34+'Saisie maison'!I34)-4),IF(('Saisie maison'!H34+'Saisie maison'!I34)=1,Ressources!$F$3,IF(('Saisie maison'!H34+'Saisie maison'!I34)=2,Ressources!$G$3,IF(('Saisie maison'!H34+'Saisie maison'!I34)=3,Ressources!$H$3,IF(('Saisie maison'!H34+'Saisie maison'!I34)=4,Ressources!$I$3,0))))))+IF(P34=Ressources!$A$3,Ressources!$B$3,IF(P34=Ressources!$A$5,Ressources!$B$5,IF(P34=Ressources!$A$6,Ressources!$B$6,IF(P34=Ressources!$A$7,Ressources!$B$7,IF(P34=Ressources!$A$8,Ressources!$B$8,IF(P34=Ressources!$A$9,Ressources!$B$9,IF(P34=Ressources!$A$10,Ressources!$B$10,IF(P34=Ressources!$A$11,Ressources!$B$11,0))))))))+IF(Q34=Ressources!$A$3,Ressources!$B$3,IF(Q34=Ressources!$A$5,Ressources!$B$5,IF(Q34=Ressources!$A$6,Ressources!$B$6,IF(Q34=Ressources!$A$7,Ressources!$B$7,IF(Q34=Ressources!$A$8,Ressources!$B$8,IF(Q34=Ressources!$A$9,Ressources!$B$9,IF(Q34=Ressources!$A$10,Ressources!$B$10,IF(Q34=Ressources!$A$11,Ressources!$B$11,0)))))))))</f>
        <v>0</v>
      </c>
      <c r="S34" s="61">
        <f>IF(AND(P34&lt;&gt;0,Q34&lt;&gt;0),IF((H34+I34)&gt;6,Ressources!$H$12+(H34+I34-6)*Ressources!$I$12+('Saisie maison'!H34-2)*Ressources!$I$13,IF((H34+I34)=6,Ressources!$H$12+('Saisie maison'!H34-2)*Ressources!$H$13,IF((H34+I34)=5,Ressources!$G$12+('Saisie maison'!H34-2)*Ressources!$G$13,IF((H34+I34)=4,Ressources!$F$12+('Saisie maison'!H34-2)*Ressources!$F$13,0)))),IF(OR(P34=0,Q34=0),IF((H34+I34)&gt;5,Ressources!$H$12+(H34+I34-5)*Ressources!$I$12+('Saisie maison'!H34-1)*Ressources!$I$13,IF((H34+I34)=5,Ressources!$H$12+('Saisie maison'!H34-1)*Ressources!$H$13,IF((H34+I34)=4,Ressources!$G$12+('Saisie maison'!H34-1)*Ressources!$G$13,IF((H34+I34)=3,Ressources!$F$12+('Saisie maison'!H34-1)*Ressources!$F$13,0))))))</f>
        <v>0</v>
      </c>
      <c r="T34" s="61"/>
      <c r="U34" s="60"/>
    </row>
    <row r="35" spans="1:21" ht="30" hidden="1" customHeight="1" x14ac:dyDescent="0.25">
      <c r="A35" s="58" t="s">
        <v>109</v>
      </c>
      <c r="B35" s="59"/>
      <c r="C35" s="60"/>
      <c r="D35" s="60"/>
      <c r="E35" s="60"/>
      <c r="F35" s="60"/>
      <c r="G35" s="60"/>
      <c r="H35" s="60"/>
      <c r="I35" s="60"/>
      <c r="J35" s="60"/>
      <c r="K35" s="60"/>
      <c r="L35" s="60"/>
      <c r="M35" s="60"/>
      <c r="N35" s="60"/>
      <c r="O35" s="60"/>
      <c r="P35" s="57" t="s">
        <v>27</v>
      </c>
      <c r="Q35" s="60"/>
      <c r="R35" s="61">
        <f>IF(AND('Saisie maison'!Q35="RSA socle",'Saisie maison'!P35="RSA socle"),IF(('Saisie maison'!H35+'Saisie maison'!I35)&gt;5,Ressources!$I$4+Ressources!$J$4*(('Saisie maison'!H35+'Saisie maison'!I35)-5),IF(('Saisie maison'!H35+'Saisie maison'!I35)=2,Ressources!$F$4,IF(('Saisie maison'!H35+'Saisie maison'!I35)=3,Ressources!$G$4,IF(('Saisie maison'!H35+'Saisie maison'!I35)=4,Ressources!$H$4,IF(('Saisie maison'!H35+'Saisie maison'!I35)=5,Ressources!$I$4,0))))), IF(OR(AND('Saisie maison'!Q35="RSA socle",'Saisie maison'!P35&lt;&gt;"RSA socle"),AND('Saisie maison'!P35="RSA socle",'Saisie maison'!Q35&lt;&gt;"RSA socle")),IF(('Saisie maison'!H35+'Saisie maison'!I35)&gt;4,Ressources!$I$3+Ressources!$J$3*(('Saisie maison'!H35+'Saisie maison'!I35)-4),IF(('Saisie maison'!H35+'Saisie maison'!I35)=1,Ressources!$F$3,IF(('Saisie maison'!H35+'Saisie maison'!I35)=2,Ressources!$G$3,IF(('Saisie maison'!H35+'Saisie maison'!I35)=3,Ressources!$H$3,IF(('Saisie maison'!H35+'Saisie maison'!I35)=4,Ressources!$I$3,0))))))+IF(P35=Ressources!$A$3,Ressources!$B$3,IF(P35=Ressources!$A$5,Ressources!$B$5,IF(P35=Ressources!$A$6,Ressources!$B$6,IF(P35=Ressources!$A$7,Ressources!$B$7,IF(P35=Ressources!$A$8,Ressources!$B$8,IF(P35=Ressources!$A$9,Ressources!$B$9,IF(P35=Ressources!$A$10,Ressources!$B$10,IF(P35=Ressources!$A$11,Ressources!$B$11,0))))))))+IF(Q35=Ressources!$A$3,Ressources!$B$3,IF(Q35=Ressources!$A$5,Ressources!$B$5,IF(Q35=Ressources!$A$6,Ressources!$B$6,IF(Q35=Ressources!$A$7,Ressources!$B$7,IF(Q35=Ressources!$A$8,Ressources!$B$8,IF(Q35=Ressources!$A$9,Ressources!$B$9,IF(Q35=Ressources!$A$10,Ressources!$B$10,IF(Q35=Ressources!$A$11,Ressources!$B$11,0)))))))))</f>
        <v>0</v>
      </c>
      <c r="S35" s="61">
        <f>IF(AND(P35&lt;&gt;0,Q35&lt;&gt;0),IF((H35+I35)&gt;6,Ressources!$H$12+(H35+I35-6)*Ressources!$I$12+('Saisie maison'!H35-2)*Ressources!$I$13,IF((H35+I35)=6,Ressources!$H$12+('Saisie maison'!H35-2)*Ressources!$H$13,IF((H35+I35)=5,Ressources!$G$12+('Saisie maison'!H35-2)*Ressources!$G$13,IF((H35+I35)=4,Ressources!$F$12+('Saisie maison'!H35-2)*Ressources!$F$13,0)))),IF(OR(P35=0,Q35=0),IF((H35+I35)&gt;5,Ressources!$H$12+(H35+I35-5)*Ressources!$I$12+('Saisie maison'!H35-1)*Ressources!$I$13,IF((H35+I35)=5,Ressources!$H$12+('Saisie maison'!H35-1)*Ressources!$H$13,IF((H35+I35)=4,Ressources!$G$12+('Saisie maison'!H35-1)*Ressources!$G$13,IF((H35+I35)=3,Ressources!$F$12+('Saisie maison'!H35-1)*Ressources!$F$13,0))))))</f>
        <v>0</v>
      </c>
      <c r="T35" s="61"/>
      <c r="U35" s="60"/>
    </row>
    <row r="36" spans="1:21" ht="30" hidden="1" customHeight="1" x14ac:dyDescent="0.25">
      <c r="A36" s="58" t="s">
        <v>110</v>
      </c>
      <c r="B36" s="59"/>
      <c r="C36" s="60"/>
      <c r="D36" s="60"/>
      <c r="E36" s="60"/>
      <c r="F36" s="60"/>
      <c r="G36" s="60"/>
      <c r="H36" s="60"/>
      <c r="I36" s="60"/>
      <c r="J36" s="60"/>
      <c r="K36" s="60"/>
      <c r="L36" s="60"/>
      <c r="M36" s="60"/>
      <c r="N36" s="60"/>
      <c r="O36" s="60"/>
      <c r="P36" s="57" t="s">
        <v>27</v>
      </c>
      <c r="Q36" s="60"/>
      <c r="R36" s="61">
        <f>IF(AND('Saisie maison'!Q36="RSA socle",'Saisie maison'!P36="RSA socle"),IF(('Saisie maison'!H36+'Saisie maison'!I36)&gt;5,Ressources!$I$4+Ressources!$J$4*(('Saisie maison'!H36+'Saisie maison'!I36)-5),IF(('Saisie maison'!H36+'Saisie maison'!I36)=2,Ressources!$F$4,IF(('Saisie maison'!H36+'Saisie maison'!I36)=3,Ressources!$G$4,IF(('Saisie maison'!H36+'Saisie maison'!I36)=4,Ressources!$H$4,IF(('Saisie maison'!H36+'Saisie maison'!I36)=5,Ressources!$I$4,0))))), IF(OR(AND('Saisie maison'!Q36="RSA socle",'Saisie maison'!P36&lt;&gt;"RSA socle"),AND('Saisie maison'!P36="RSA socle",'Saisie maison'!Q36&lt;&gt;"RSA socle")),IF(('Saisie maison'!H36+'Saisie maison'!I36)&gt;4,Ressources!$I$3+Ressources!$J$3*(('Saisie maison'!H36+'Saisie maison'!I36)-4),IF(('Saisie maison'!H36+'Saisie maison'!I36)=1,Ressources!$F$3,IF(('Saisie maison'!H36+'Saisie maison'!I36)=2,Ressources!$G$3,IF(('Saisie maison'!H36+'Saisie maison'!I36)=3,Ressources!$H$3,IF(('Saisie maison'!H36+'Saisie maison'!I36)=4,Ressources!$I$3,0))))))+IF(P36=Ressources!$A$3,Ressources!$B$3,IF(P36=Ressources!$A$5,Ressources!$B$5,IF(P36=Ressources!$A$6,Ressources!$B$6,IF(P36=Ressources!$A$7,Ressources!$B$7,IF(P36=Ressources!$A$8,Ressources!$B$8,IF(P36=Ressources!$A$9,Ressources!$B$9,IF(P36=Ressources!$A$10,Ressources!$B$10,IF(P36=Ressources!$A$11,Ressources!$B$11,0))))))))+IF(Q36=Ressources!$A$3,Ressources!$B$3,IF(Q36=Ressources!$A$5,Ressources!$B$5,IF(Q36=Ressources!$A$6,Ressources!$B$6,IF(Q36=Ressources!$A$7,Ressources!$B$7,IF(Q36=Ressources!$A$8,Ressources!$B$8,IF(Q36=Ressources!$A$9,Ressources!$B$9,IF(Q36=Ressources!$A$10,Ressources!$B$10,IF(Q36=Ressources!$A$11,Ressources!$B$11,0)))))))))</f>
        <v>0</v>
      </c>
      <c r="S36" s="61">
        <f>IF(AND(P36&lt;&gt;0,Q36&lt;&gt;0),IF((H36+I36)&gt;6,Ressources!$H$12+(H36+I36-6)*Ressources!$I$12+('Saisie maison'!H36-2)*Ressources!$I$13,IF((H36+I36)=6,Ressources!$H$12+('Saisie maison'!H36-2)*Ressources!$H$13,IF((H36+I36)=5,Ressources!$G$12+('Saisie maison'!H36-2)*Ressources!$G$13,IF((H36+I36)=4,Ressources!$F$12+('Saisie maison'!H36-2)*Ressources!$F$13,0)))),IF(OR(P36=0,Q36=0),IF((H36+I36)&gt;5,Ressources!$H$12+(H36+I36-5)*Ressources!$I$12+('Saisie maison'!H36-1)*Ressources!$I$13,IF((H36+I36)=5,Ressources!$H$12+('Saisie maison'!H36-1)*Ressources!$H$13,IF((H36+I36)=4,Ressources!$G$12+('Saisie maison'!H36-1)*Ressources!$G$13,IF((H36+I36)=3,Ressources!$F$12+('Saisie maison'!H36-1)*Ressources!$F$13,0))))))</f>
        <v>0</v>
      </c>
      <c r="T36" s="61"/>
      <c r="U36" s="60"/>
    </row>
    <row r="37" spans="1:21" ht="30" hidden="1" customHeight="1" x14ac:dyDescent="0.25">
      <c r="A37" s="58" t="s">
        <v>111</v>
      </c>
      <c r="B37" s="59"/>
      <c r="C37" s="60"/>
      <c r="D37" s="60"/>
      <c r="E37" s="60"/>
      <c r="F37" s="60"/>
      <c r="G37" s="60"/>
      <c r="H37" s="60"/>
      <c r="I37" s="60"/>
      <c r="J37" s="60"/>
      <c r="K37" s="60"/>
      <c r="L37" s="60"/>
      <c r="M37" s="60"/>
      <c r="N37" s="60"/>
      <c r="O37" s="60"/>
      <c r="P37" s="57" t="s">
        <v>27</v>
      </c>
      <c r="Q37" s="60"/>
      <c r="R37" s="61">
        <f>IF(AND('Saisie maison'!Q37="RSA socle",'Saisie maison'!P37="RSA socle"),IF(('Saisie maison'!H37+'Saisie maison'!I37)&gt;5,Ressources!$I$4+Ressources!$J$4*(('Saisie maison'!H37+'Saisie maison'!I37)-5),IF(('Saisie maison'!H37+'Saisie maison'!I37)=2,Ressources!$F$4,IF(('Saisie maison'!H37+'Saisie maison'!I37)=3,Ressources!$G$4,IF(('Saisie maison'!H37+'Saisie maison'!I37)=4,Ressources!$H$4,IF(('Saisie maison'!H37+'Saisie maison'!I37)=5,Ressources!$I$4,0))))), IF(OR(AND('Saisie maison'!Q37="RSA socle",'Saisie maison'!P37&lt;&gt;"RSA socle"),AND('Saisie maison'!P37="RSA socle",'Saisie maison'!Q37&lt;&gt;"RSA socle")),IF(('Saisie maison'!H37+'Saisie maison'!I37)&gt;4,Ressources!$I$3+Ressources!$J$3*(('Saisie maison'!H37+'Saisie maison'!I37)-4),IF(('Saisie maison'!H37+'Saisie maison'!I37)=1,Ressources!$F$3,IF(('Saisie maison'!H37+'Saisie maison'!I37)=2,Ressources!$G$3,IF(('Saisie maison'!H37+'Saisie maison'!I37)=3,Ressources!$H$3,IF(('Saisie maison'!H37+'Saisie maison'!I37)=4,Ressources!$I$3,0))))))+IF(P37=Ressources!$A$3,Ressources!$B$3,IF(P37=Ressources!$A$5,Ressources!$B$5,IF(P37=Ressources!$A$6,Ressources!$B$6,IF(P37=Ressources!$A$7,Ressources!$B$7,IF(P37=Ressources!$A$8,Ressources!$B$8,IF(P37=Ressources!$A$9,Ressources!$B$9,IF(P37=Ressources!$A$10,Ressources!$B$10,IF(P37=Ressources!$A$11,Ressources!$B$11,0))))))))+IF(Q37=Ressources!$A$3,Ressources!$B$3,IF(Q37=Ressources!$A$5,Ressources!$B$5,IF(Q37=Ressources!$A$6,Ressources!$B$6,IF(Q37=Ressources!$A$7,Ressources!$B$7,IF(Q37=Ressources!$A$8,Ressources!$B$8,IF(Q37=Ressources!$A$9,Ressources!$B$9,IF(Q37=Ressources!$A$10,Ressources!$B$10,IF(Q37=Ressources!$A$11,Ressources!$B$11,0)))))))))</f>
        <v>0</v>
      </c>
      <c r="S37" s="61">
        <f>IF(AND(P37&lt;&gt;0,Q37&lt;&gt;0),IF((H37+I37)&gt;6,Ressources!$H$12+(H37+I37-6)*Ressources!$I$12+('Saisie maison'!H37-2)*Ressources!$I$13,IF((H37+I37)=6,Ressources!$H$12+('Saisie maison'!H37-2)*Ressources!$H$13,IF((H37+I37)=5,Ressources!$G$12+('Saisie maison'!H37-2)*Ressources!$G$13,IF((H37+I37)=4,Ressources!$F$12+('Saisie maison'!H37-2)*Ressources!$F$13,0)))),IF(OR(P37=0,Q37=0),IF((H37+I37)&gt;5,Ressources!$H$12+(H37+I37-5)*Ressources!$I$12+('Saisie maison'!H37-1)*Ressources!$I$13,IF((H37+I37)=5,Ressources!$H$12+('Saisie maison'!H37-1)*Ressources!$H$13,IF((H37+I37)=4,Ressources!$G$12+('Saisie maison'!H37-1)*Ressources!$G$13,IF((H37+I37)=3,Ressources!$F$12+('Saisie maison'!H37-1)*Ressources!$F$13,0))))))</f>
        <v>0</v>
      </c>
      <c r="T37" s="61"/>
      <c r="U37" s="60"/>
    </row>
    <row r="38" spans="1:21" ht="30" hidden="1" customHeight="1" x14ac:dyDescent="0.25">
      <c r="A38" s="58" t="s">
        <v>112</v>
      </c>
      <c r="B38" s="59"/>
      <c r="C38" s="60"/>
      <c r="D38" s="60"/>
      <c r="E38" s="60"/>
      <c r="F38" s="60"/>
      <c r="G38" s="60"/>
      <c r="H38" s="60"/>
      <c r="I38" s="60"/>
      <c r="J38" s="60"/>
      <c r="K38" s="60"/>
      <c r="L38" s="60"/>
      <c r="M38" s="60"/>
      <c r="N38" s="60"/>
      <c r="O38" s="60"/>
      <c r="P38" s="57" t="s">
        <v>27</v>
      </c>
      <c r="Q38" s="60"/>
      <c r="R38" s="61">
        <f>IF(AND('Saisie maison'!Q38="RSA socle",'Saisie maison'!P38="RSA socle"),IF(('Saisie maison'!H38+'Saisie maison'!I38)&gt;5,Ressources!$I$4+Ressources!$J$4*(('Saisie maison'!H38+'Saisie maison'!I38)-5),IF(('Saisie maison'!H38+'Saisie maison'!I38)=2,Ressources!$F$4,IF(('Saisie maison'!H38+'Saisie maison'!I38)=3,Ressources!$G$4,IF(('Saisie maison'!H38+'Saisie maison'!I38)=4,Ressources!$H$4,IF(('Saisie maison'!H38+'Saisie maison'!I38)=5,Ressources!$I$4,0))))), IF(OR(AND('Saisie maison'!Q38="RSA socle",'Saisie maison'!P38&lt;&gt;"RSA socle"),AND('Saisie maison'!P38="RSA socle",'Saisie maison'!Q38&lt;&gt;"RSA socle")),IF(('Saisie maison'!H38+'Saisie maison'!I38)&gt;4,Ressources!$I$3+Ressources!$J$3*(('Saisie maison'!H38+'Saisie maison'!I38)-4),IF(('Saisie maison'!H38+'Saisie maison'!I38)=1,Ressources!$F$3,IF(('Saisie maison'!H38+'Saisie maison'!I38)=2,Ressources!$G$3,IF(('Saisie maison'!H38+'Saisie maison'!I38)=3,Ressources!$H$3,IF(('Saisie maison'!H38+'Saisie maison'!I38)=4,Ressources!$I$3,0))))))+IF(P38=Ressources!$A$3,Ressources!$B$3,IF(P38=Ressources!$A$5,Ressources!$B$5,IF(P38=Ressources!$A$6,Ressources!$B$6,IF(P38=Ressources!$A$7,Ressources!$B$7,IF(P38=Ressources!$A$8,Ressources!$B$8,IF(P38=Ressources!$A$9,Ressources!$B$9,IF(P38=Ressources!$A$10,Ressources!$B$10,IF(P38=Ressources!$A$11,Ressources!$B$11,0))))))))+IF(Q38=Ressources!$A$3,Ressources!$B$3,IF(Q38=Ressources!$A$5,Ressources!$B$5,IF(Q38=Ressources!$A$6,Ressources!$B$6,IF(Q38=Ressources!$A$7,Ressources!$B$7,IF(Q38=Ressources!$A$8,Ressources!$B$8,IF(Q38=Ressources!$A$9,Ressources!$B$9,IF(Q38=Ressources!$A$10,Ressources!$B$10,IF(Q38=Ressources!$A$11,Ressources!$B$11,0)))))))))</f>
        <v>0</v>
      </c>
      <c r="S38" s="61">
        <f>IF(AND(P38&lt;&gt;0,Q38&lt;&gt;0),IF((H38+I38)&gt;6,Ressources!$H$12+(H38+I38-6)*Ressources!$I$12+('Saisie maison'!H38-2)*Ressources!$I$13,IF((H38+I38)=6,Ressources!$H$12+('Saisie maison'!H38-2)*Ressources!$H$13,IF((H38+I38)=5,Ressources!$G$12+('Saisie maison'!H38-2)*Ressources!$G$13,IF((H38+I38)=4,Ressources!$F$12+('Saisie maison'!H38-2)*Ressources!$F$13,0)))),IF(OR(P38=0,Q38=0),IF((H38+I38)&gt;5,Ressources!$H$12+(H38+I38-5)*Ressources!$I$12+('Saisie maison'!H38-1)*Ressources!$I$13,IF((H38+I38)=5,Ressources!$H$12+('Saisie maison'!H38-1)*Ressources!$H$13,IF((H38+I38)=4,Ressources!$G$12+('Saisie maison'!H38-1)*Ressources!$G$13,IF((H38+I38)=3,Ressources!$F$12+('Saisie maison'!H38-1)*Ressources!$F$13,0))))))</f>
        <v>0</v>
      </c>
      <c r="T38" s="61"/>
      <c r="U38" s="60"/>
    </row>
    <row r="40" spans="1:21" ht="15" customHeight="1" x14ac:dyDescent="0.25">
      <c r="B40" s="62"/>
      <c r="K40" s="271" t="s">
        <v>113</v>
      </c>
      <c r="L40" s="271"/>
      <c r="M40" s="271"/>
      <c r="N40" s="271"/>
      <c r="P40" s="272" t="s">
        <v>114</v>
      </c>
      <c r="Q40" s="272"/>
      <c r="R40" s="272"/>
      <c r="S40" s="272"/>
    </row>
    <row r="41" spans="1:21" x14ac:dyDescent="0.25">
      <c r="B41" s="63"/>
      <c r="K41" s="271"/>
      <c r="L41" s="271"/>
      <c r="M41" s="271"/>
      <c r="N41" s="271"/>
      <c r="P41" s="272"/>
      <c r="Q41" s="272"/>
      <c r="R41" s="272"/>
      <c r="S41" s="272"/>
    </row>
    <row r="42" spans="1:21" x14ac:dyDescent="0.25">
      <c r="P42" s="272"/>
      <c r="Q42" s="272"/>
      <c r="R42" s="272"/>
      <c r="S42" s="272"/>
    </row>
    <row r="43" spans="1:21" x14ac:dyDescent="0.25">
      <c r="P43" s="272"/>
      <c r="Q43" s="272"/>
      <c r="R43" s="272"/>
      <c r="S43" s="272"/>
    </row>
    <row r="44" spans="1:21" x14ac:dyDescent="0.25">
      <c r="P44" s="272"/>
      <c r="Q44" s="272"/>
      <c r="R44" s="272"/>
      <c r="S44" s="272"/>
    </row>
    <row r="45" spans="1:21" x14ac:dyDescent="0.25">
      <c r="P45" s="272"/>
      <c r="Q45" s="272"/>
      <c r="R45" s="272"/>
      <c r="S45" s="272"/>
    </row>
    <row r="46" spans="1:21" x14ac:dyDescent="0.25">
      <c r="P46" s="272"/>
      <c r="Q46" s="272"/>
      <c r="R46" s="272"/>
      <c r="S46" s="272"/>
    </row>
    <row r="47" spans="1:21" x14ac:dyDescent="0.25">
      <c r="O47" s="64"/>
      <c r="P47" s="272"/>
      <c r="Q47" s="272"/>
      <c r="R47" s="272"/>
      <c r="S47" s="272"/>
    </row>
  </sheetData>
  <mergeCells count="33">
    <mergeCell ref="K40:N41"/>
    <mergeCell ref="P40:S47"/>
    <mergeCell ref="K11:O11"/>
    <mergeCell ref="P11:R11"/>
    <mergeCell ref="S11:S12"/>
    <mergeCell ref="T11:T12"/>
    <mergeCell ref="U11:U12"/>
    <mergeCell ref="E11:E12"/>
    <mergeCell ref="F11:F12"/>
    <mergeCell ref="G11:G12"/>
    <mergeCell ref="H11:I11"/>
    <mergeCell ref="J11:J12"/>
    <mergeCell ref="A10:B10"/>
    <mergeCell ref="C10:D10"/>
    <mergeCell ref="A11:B12"/>
    <mergeCell ref="C11:C12"/>
    <mergeCell ref="D11:D12"/>
    <mergeCell ref="G6:G7"/>
    <mergeCell ref="M6:N9"/>
    <mergeCell ref="P6:P9"/>
    <mergeCell ref="R6:S9"/>
    <mergeCell ref="F8:F9"/>
    <mergeCell ref="G8:G9"/>
    <mergeCell ref="A4:B4"/>
    <mergeCell ref="A5:B5"/>
    <mergeCell ref="A6:B9"/>
    <mergeCell ref="C6:E9"/>
    <mergeCell ref="F6:F7"/>
    <mergeCell ref="A1:U1"/>
    <mergeCell ref="A2:B2"/>
    <mergeCell ref="C2:I2"/>
    <mergeCell ref="A3:B3"/>
    <mergeCell ref="C3:D3"/>
  </mergeCells>
  <dataValidations count="7">
    <dataValidation type="list" allowBlank="1" showInputMessage="1" showErrorMessage="1" sqref="C3:D3">
      <formula1>VILLE</formula1>
      <formula2>0</formula2>
    </dataValidation>
    <dataValidation type="list" allowBlank="1" showInputMessage="1" showErrorMessage="1" sqref="C4 G8:G9">
      <formula1>typedelogement</formula1>
      <formula2>0</formula2>
    </dataValidation>
    <dataValidation type="list" allowBlank="1" showInputMessage="1" showErrorMessage="1" sqref="C5">
      <formula1>mitoyennete</formula1>
      <formula2>0</formula2>
    </dataValidation>
    <dataValidation type="list" allowBlank="1" showInputMessage="1" showErrorMessage="1" sqref="C6:E9">
      <formula1>typereno</formula1>
      <formula2>0</formula2>
    </dataValidation>
    <dataValidation type="list" allowBlank="1" showInputMessage="1" showErrorMessage="1" sqref="C10:D10">
      <formula1>typeiso</formula1>
      <formula2>0</formula2>
    </dataValidation>
    <dataValidation type="list" allowBlank="1" showInputMessage="1" showErrorMessage="1" sqref="E13:E17">
      <formula1>typeecs</formula1>
      <formula2>0</formula2>
    </dataValidation>
    <dataValidation type="list" allowBlank="1" showInputMessage="1" showErrorMessage="1" sqref="G13:G17">
      <formula1>cuisson</formula1>
      <formula2>0</formula2>
    </dataValidation>
  </dataValidations>
  <pageMargins left="0.25" right="0.25" top="0.75" bottom="0.75" header="0.51180555555555496" footer="0.51180555555555496"/>
  <pageSetup paperSize="9" firstPageNumber="0" orientation="landscape" horizontalDpi="300" verticalDpi="300"/>
  <extLst>
    <ext xmlns:x14="http://schemas.microsoft.com/office/spreadsheetml/2009/9/main" uri="{CCE6A557-97BC-4b89-ADB6-D9C93CAAB3DF}">
      <x14:dataValidations xmlns:xm="http://schemas.microsoft.com/office/excel/2006/main" count="6">
        <x14:dataValidation type="list" allowBlank="1" showInputMessage="1" showErrorMessage="1">
          <x14:formula1>
            <xm:f>'élts calculs lgt ind'!$AN$37:$AN$56</xm:f>
          </x14:formula1>
          <x14:formula2>
            <xm:f>0</xm:f>
          </x14:formula2>
          <xm:sqref>D13:D17</xm:sqref>
        </x14:dataValidation>
        <x14:dataValidation type="list" allowBlank="1" showInputMessage="1" showErrorMessage="1">
          <x14:formula1>
            <xm:f>'élts calculs lgt ind'!$AC$35:$AC$38</xm:f>
          </x14:formula1>
          <x14:formula2>
            <xm:f>0</xm:f>
          </x14:formula2>
          <xm:sqref>F13:F17</xm:sqref>
        </x14:dataValidation>
        <x14:dataValidation type="list" allowBlank="1" showInputMessage="1" showErrorMessage="1">
          <x14:formula1>
            <xm:f>'élts calculs lgt ind'!$AI$31:$AI$33</xm:f>
          </x14:formula1>
          <x14:formula2>
            <xm:f>0</xm:f>
          </x14:formula2>
          <xm:sqref>G10</xm:sqref>
        </x14:dataValidation>
        <x14:dataValidation type="list" allowBlank="1" showInputMessage="1" showErrorMessage="1">
          <x14:formula1>
            <xm:f>Ressources!$A$3:$A$11</xm:f>
          </x14:formula1>
          <x14:formula2>
            <xm:f>0</xm:f>
          </x14:formula2>
          <xm:sqref>Q13:Q17</xm:sqref>
        </x14:dataValidation>
        <x14:dataValidation type="list" allowBlank="1" showInputMessage="1" showErrorMessage="1">
          <x14:formula1>
            <xm:f>'élts calculs lgt ind'!$Y$5:$Y$9</xm:f>
          </x14:formula1>
          <x14:formula2>
            <xm:f>0</xm:f>
          </x14:formula2>
          <xm:sqref>B13:B17</xm:sqref>
        </x14:dataValidation>
        <x14:dataValidation type="list" allowBlank="1" showInputMessage="1" showErrorMessage="1">
          <x14:formula1>
            <xm:f>Ressources!$A$4:$A$11</xm:f>
          </x14:formula1>
          <x14:formula2>
            <xm:f>0</xm:f>
          </x14:formula2>
          <xm:sqref>P13:P38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pageSetUpPr fitToPage="1"/>
  </sheetPr>
  <dimension ref="A1:U24"/>
  <sheetViews>
    <sheetView showGridLines="0" zoomScale="75" zoomScaleNormal="75" workbookViewId="0">
      <selection activeCell="W13" sqref="W13"/>
    </sheetView>
  </sheetViews>
  <sheetFormatPr baseColWidth="10" defaultColWidth="9.140625" defaultRowHeight="15" x14ac:dyDescent="0.25"/>
  <cols>
    <col min="1" max="1" width="12.28515625" customWidth="1"/>
    <col min="2" max="2" width="11.5703125" customWidth="1"/>
    <col min="3" max="3" width="6.85546875" customWidth="1"/>
    <col min="4" max="7" width="10.85546875" customWidth="1"/>
    <col min="8" max="9" width="12.85546875" customWidth="1"/>
    <col min="10" max="10" width="10.85546875" customWidth="1"/>
    <col min="11" max="11" width="10.7109375" customWidth="1"/>
    <col min="12" max="13" width="10.85546875" customWidth="1"/>
    <col min="14" max="16" width="10.5703125" customWidth="1"/>
    <col min="17" max="17" width="4.28515625" style="65" customWidth="1"/>
    <col min="18" max="19" width="11.140625" customWidth="1"/>
    <col min="20" max="21" width="13" customWidth="1"/>
    <col min="22" max="22" width="9.28515625" customWidth="1"/>
    <col min="23" max="23" width="13" customWidth="1"/>
    <col min="24" max="24" width="5.28515625" customWidth="1"/>
    <col min="25" max="25" width="12.28515625" customWidth="1"/>
    <col min="26" max="1025" width="10.7109375" customWidth="1"/>
  </cols>
  <sheetData>
    <row r="1" spans="1:21" ht="34.5" customHeight="1" x14ac:dyDescent="0.5">
      <c r="A1" s="273" t="s">
        <v>115</v>
      </c>
      <c r="B1" s="273"/>
      <c r="C1" s="273"/>
      <c r="D1" s="273"/>
      <c r="E1" s="273"/>
      <c r="F1" s="273"/>
      <c r="G1" s="273"/>
      <c r="H1" s="273"/>
      <c r="I1" s="273"/>
      <c r="J1" s="273"/>
      <c r="K1" s="273"/>
      <c r="L1" s="273"/>
      <c r="M1" s="273"/>
      <c r="N1" s="273"/>
      <c r="O1" s="273"/>
      <c r="P1" s="273"/>
      <c r="Q1" s="273"/>
      <c r="R1" s="273"/>
      <c r="S1" s="273"/>
      <c r="T1" s="273"/>
      <c r="U1" s="273"/>
    </row>
    <row r="2" spans="1:21" ht="39" customHeight="1" x14ac:dyDescent="0.5">
      <c r="A2" s="274" t="s">
        <v>116</v>
      </c>
      <c r="B2" s="274"/>
      <c r="C2" s="274"/>
      <c r="D2" s="275" t="str">
        <f>'Saisie maison'!C2</f>
        <v>Soliha Provence</v>
      </c>
      <c r="E2" s="275"/>
      <c r="F2" s="275"/>
      <c r="G2" s="275"/>
      <c r="H2" s="275"/>
      <c r="I2" s="275"/>
      <c r="R2" s="66"/>
      <c r="S2" s="66"/>
      <c r="T2" s="66"/>
    </row>
    <row r="3" spans="1:21" s="30" customFormat="1" ht="45.75" customHeight="1" x14ac:dyDescent="0.25">
      <c r="A3" s="276" t="s">
        <v>117</v>
      </c>
      <c r="B3" s="276" t="s">
        <v>118</v>
      </c>
      <c r="C3" s="276" t="s">
        <v>119</v>
      </c>
      <c r="D3" s="277" t="s">
        <v>120</v>
      </c>
      <c r="E3" s="277"/>
      <c r="F3" s="277"/>
      <c r="G3" s="277"/>
      <c r="H3" s="277"/>
      <c r="I3" s="277"/>
      <c r="J3" s="278" t="s">
        <v>121</v>
      </c>
      <c r="K3" s="278"/>
      <c r="L3" s="68" t="s">
        <v>122</v>
      </c>
      <c r="M3" s="279" t="s">
        <v>123</v>
      </c>
      <c r="N3" s="279"/>
      <c r="O3" s="279"/>
      <c r="P3" s="279"/>
      <c r="Q3" s="69"/>
      <c r="R3" s="280" t="s">
        <v>124</v>
      </c>
      <c r="S3" s="280"/>
      <c r="T3" s="280"/>
      <c r="U3" s="280"/>
    </row>
    <row r="4" spans="1:21" ht="94.5" customHeight="1" x14ac:dyDescent="0.25">
      <c r="A4" s="276"/>
      <c r="B4" s="276"/>
      <c r="C4" s="276"/>
      <c r="D4" s="67" t="s">
        <v>125</v>
      </c>
      <c r="E4" s="67" t="s">
        <v>126</v>
      </c>
      <c r="F4" s="67" t="s">
        <v>127</v>
      </c>
      <c r="G4" s="67" t="s">
        <v>128</v>
      </c>
      <c r="H4" s="67" t="s">
        <v>129</v>
      </c>
      <c r="I4" s="70" t="s">
        <v>130</v>
      </c>
      <c r="J4" s="67" t="s">
        <v>131</v>
      </c>
      <c r="K4" s="67" t="s">
        <v>132</v>
      </c>
      <c r="L4" s="67" t="s">
        <v>133</v>
      </c>
      <c r="M4" s="70" t="s">
        <v>134</v>
      </c>
      <c r="N4" s="67" t="s">
        <v>135</v>
      </c>
      <c r="O4" s="70" t="s">
        <v>136</v>
      </c>
      <c r="P4" s="70" t="s">
        <v>137</v>
      </c>
      <c r="R4" s="71" t="s">
        <v>138</v>
      </c>
      <c r="S4" s="71" t="s">
        <v>139</v>
      </c>
      <c r="T4" s="71" t="s">
        <v>140</v>
      </c>
      <c r="U4" s="71" t="s">
        <v>141</v>
      </c>
    </row>
    <row r="5" spans="1:21" s="80" customFormat="1" ht="15.75" x14ac:dyDescent="0.25">
      <c r="A5" s="72" t="s">
        <v>84</v>
      </c>
      <c r="B5" s="72" t="str">
        <f>'Saisie maison'!B13</f>
        <v>T2</v>
      </c>
      <c r="C5" s="72">
        <f>'Saisie maison'!C13</f>
        <v>50</v>
      </c>
      <c r="D5" s="73">
        <f>IF(ISNA(IF('élts calculs lgt ind'!AD$19&gt;100,'élts calculs lgt ind'!AD$19/12,5)),"-",IF('élts calculs lgt ind'!AD$19&gt;100,'élts calculs lgt ind'!AD$19/12,5))</f>
        <v>11.826806521739174</v>
      </c>
      <c r="E5" s="74">
        <f>IF(ISNA('élts calculs lgt ind'!AY37/12+IF(AND('élts calculs lgt ind'!AK6&lt;&gt;"gaz",('élts calculs lgt ind'!AL6="gaz")),'élts calculs lgt ind'!AN15,0)/12),"-",'élts calculs lgt ind'!AY37/12+IF(AND('élts calculs lgt ind'!AK6&lt;&gt;"gaz",('élts calculs lgt ind'!AL6="gaz")),'élts calculs lgt ind'!AN15,0)/12)</f>
        <v>45.052083333333336</v>
      </c>
      <c r="F5" s="74">
        <f>'élts calculs lgt ind'!AZ16/12</f>
        <v>32.083333333333336</v>
      </c>
      <c r="G5" s="73">
        <f>IF(ISNA('élts calculs lgt ind'!AO22/12),"-",'élts calculs lgt ind'!AO22/12)</f>
        <v>28.058750000000003</v>
      </c>
      <c r="H5" s="73">
        <f>IF(ISNA('élts calculs lgt ind'!AO29/12+IF(AND('élts calculs lgt ind'!AK6&lt;&gt;"gaz",('élts calculs lgt ind'!AL6&lt;&gt;"gaz"),('Saisie maison'!G13="gaz de ville")),'élts calculs lgt ind'!AN15,0)/12),"-",'élts calculs lgt ind'!AO29/12+IF(AND('élts calculs lgt ind'!AK6&lt;&gt;"gaz",('élts calculs lgt ind'!AL6&lt;&gt;"gaz"),('Saisie maison'!G13="gaz de ville")),'élts calculs lgt ind'!AN15,0)/12)</f>
        <v>8.7125000000000004</v>
      </c>
      <c r="I5" s="75">
        <f>IF(ISERROR(D5+E5+F5+G5+H5),0,D5+E5+F5+G5+H5)</f>
        <v>125.73347318840585</v>
      </c>
      <c r="J5" s="74">
        <f>(('Saisie maison'!K13*'Saisie maison'!C13)+'Saisie maison'!L13+'Saisie maison'!M13+'Saisie maison'!N13+'Saisie maison'!O13)/12</f>
        <v>51.666666666666664</v>
      </c>
      <c r="K5" s="74">
        <f>I5+'Saisie maison'!J13+J5</f>
        <v>577.40013985507244</v>
      </c>
      <c r="L5" s="74">
        <f>K5-'Saisie maison'!U13</f>
        <v>427.40013985507244</v>
      </c>
      <c r="M5" s="75">
        <f>'Saisie maison'!R13+'Saisie maison'!S13-'Résultat maison'!L5</f>
        <v>810.92986014492749</v>
      </c>
      <c r="N5" s="76">
        <f>IF('Saisie maison'!H13&gt;0,1+0.5*('Saisie maison'!H13-1)+0.3*'Saisie maison'!I13,0)</f>
        <v>1.8</v>
      </c>
      <c r="O5" s="77">
        <f>IF(ISERROR(M5/(N5*30)),0,M5/(N5*30))</f>
        <v>15.017219632313472</v>
      </c>
      <c r="P5" s="78">
        <f>IF(ISERROR(L5/('Saisie maison'!R13+'Saisie maison'!S13)),0,L5/('Saisie maison'!R13+'Saisie maison'!S13))</f>
        <v>0.3451423609660369</v>
      </c>
      <c r="Q5" s="65"/>
      <c r="R5" s="74">
        <f>IF(ISERROR('Cheque Energie'!G16),0,'Cheque Energie'!G16)</f>
        <v>176</v>
      </c>
      <c r="S5" s="74">
        <f>R5/12</f>
        <v>14.666666666666666</v>
      </c>
      <c r="T5" s="74">
        <f>M5+S5</f>
        <v>825.59652681159412</v>
      </c>
      <c r="U5" s="79">
        <f>IF(ISERROR((L5-S5)/('Saisie maison'!R13+'Saisie maison'!S13)),0,(L5-S5)/('Saisie maison'!R13+'Saisie maison'!S13))</f>
        <v>0.333298452907065</v>
      </c>
    </row>
    <row r="6" spans="1:21" s="80" customFormat="1" ht="15.75" x14ac:dyDescent="0.25">
      <c r="A6" s="72" t="s">
        <v>90</v>
      </c>
      <c r="B6" s="72">
        <f>'Saisie maison'!B14</f>
        <v>0</v>
      </c>
      <c r="C6" s="72">
        <f>'Saisie maison'!C14</f>
        <v>0</v>
      </c>
      <c r="D6" s="73" t="str">
        <f>IF(ISNA(IF('élts calculs lgt ind'!AE$19&gt;100,'élts calculs lgt ind'!AE$19/12,5)),"-",IF('élts calculs lgt ind'!AE$19&gt;100,'élts calculs lgt ind'!AE$19/12,5))</f>
        <v>-</v>
      </c>
      <c r="E6" s="74" t="str">
        <f>IF(ISNA('élts calculs lgt ind'!AY38/12+IF(AND('élts calculs lgt ind'!AK7&lt;&gt;"gaz",('élts calculs lgt ind'!AL7="gaz")),'élts calculs lgt ind'!AN16,0)/12),"-",'élts calculs lgt ind'!AY38/12+IF(AND('élts calculs lgt ind'!AK7&lt;&gt;"gaz",('élts calculs lgt ind'!AL7="gaz")),'élts calculs lgt ind'!AN16,0)/12)</f>
        <v>-</v>
      </c>
      <c r="F6" s="74">
        <f>'élts calculs lgt ind'!BB16/12</f>
        <v>0</v>
      </c>
      <c r="G6" s="73" t="str">
        <f>IF(ISNA('élts calculs lgt ind'!AO23/12),"-",'élts calculs lgt ind'!AO23/12)</f>
        <v>-</v>
      </c>
      <c r="H6" s="73" t="str">
        <f>IF(ISNA('élts calculs lgt ind'!AO30/12+IF(AND('élts calculs lgt ind'!AK7&lt;&gt;"gaz",('élts calculs lgt ind'!AL7&lt;&gt;"gaz"),('Saisie maison'!G14="gaz de ville")),'élts calculs lgt ind'!AN16,0)/12),"-",'élts calculs lgt ind'!AO30/12+IF(AND('élts calculs lgt ind'!AK7&lt;&gt;"gaz",('élts calculs lgt ind'!AL7&lt;&gt;"gaz"),('Saisie maison'!G14="gaz de ville")),'élts calculs lgt ind'!AN16,0)/12)</f>
        <v>-</v>
      </c>
      <c r="I6" s="75">
        <f>IF(ISERROR(D6+E6+F6+G6+H6),0,D6+E6+F6+G6+H6)</f>
        <v>0</v>
      </c>
      <c r="J6" s="74">
        <f>(('Saisie maison'!K14*'Saisie maison'!C14)+'Saisie maison'!L14+'Saisie maison'!M14+'Saisie maison'!N14+'Saisie maison'!O14)/12</f>
        <v>0</v>
      </c>
      <c r="K6" s="74">
        <f>I6+'Saisie maison'!J14+J6</f>
        <v>0</v>
      </c>
      <c r="L6" s="74">
        <f>K6-'Saisie maison'!U14</f>
        <v>0</v>
      </c>
      <c r="M6" s="75">
        <f>'Saisie maison'!R14+'Saisie maison'!S14-'Résultat maison'!L6</f>
        <v>0</v>
      </c>
      <c r="N6" s="76">
        <f>IF('Saisie maison'!H14&gt;0,1+0.5*('Saisie maison'!H14-1)+0.3*'Saisie maison'!I14,0)</f>
        <v>0</v>
      </c>
      <c r="O6" s="77">
        <f>IF(ISERROR(M6/(N6*30)),0,M6/(N6*30))</f>
        <v>0</v>
      </c>
      <c r="P6" s="78">
        <f>IF(ISERROR(L6/('Saisie maison'!R14+'Saisie maison'!S14)),0,L6/('Saisie maison'!R14+'Saisie maison'!S14))</f>
        <v>0</v>
      </c>
      <c r="Q6" s="65"/>
      <c r="R6" s="74">
        <f>IF(ISERROR('Cheque Energie'!G17),0,'Cheque Energie'!G17)</f>
        <v>0</v>
      </c>
      <c r="S6" s="74">
        <f>R6/12</f>
        <v>0</v>
      </c>
      <c r="T6" s="74">
        <f>M6+S6</f>
        <v>0</v>
      </c>
      <c r="U6" s="79">
        <f>IF(ISERROR((L6-S6)/('Saisie maison'!R14+'Saisie maison'!S14)),0,(L6-S6)/('Saisie maison'!R14+'Saisie maison'!S14))</f>
        <v>0</v>
      </c>
    </row>
    <row r="7" spans="1:21" s="80" customFormat="1" ht="15.75" x14ac:dyDescent="0.25">
      <c r="A7" s="72" t="s">
        <v>91</v>
      </c>
      <c r="B7" s="72">
        <f>'Saisie maison'!B15</f>
        <v>0</v>
      </c>
      <c r="C7" s="72">
        <f>'Saisie maison'!C15</f>
        <v>0</v>
      </c>
      <c r="D7" s="73" t="str">
        <f>IF(ISNA(IF('élts calculs lgt ind'!AF$19&gt;100,'élts calculs lgt ind'!AF$19/12,5)),"-",IF('élts calculs lgt ind'!AF$19&gt;100,'élts calculs lgt ind'!AF$19/12,5))</f>
        <v>-</v>
      </c>
      <c r="E7" s="74" t="str">
        <f>IF(ISNA('élts calculs lgt ind'!AY39/12+IF(AND('élts calculs lgt ind'!AK8&lt;&gt;"gaz",('élts calculs lgt ind'!AL8="gaz")),'élts calculs lgt ind'!AN17,0)/12),"-",'élts calculs lgt ind'!AY39/12+IF(AND('élts calculs lgt ind'!AK8&lt;&gt;"gaz",('élts calculs lgt ind'!AL8="gaz")),'élts calculs lgt ind'!AN17,0)/12)</f>
        <v>-</v>
      </c>
      <c r="F7" s="74">
        <f>'élts calculs lgt ind'!BD16/12</f>
        <v>0</v>
      </c>
      <c r="G7" s="73" t="str">
        <f>IF(ISNA('élts calculs lgt ind'!AO24/12),"-",'élts calculs lgt ind'!AO24/12)</f>
        <v>-</v>
      </c>
      <c r="H7" s="73" t="str">
        <f>IF(ISNA('élts calculs lgt ind'!AO31/12+IF(AND('élts calculs lgt ind'!AK8&lt;&gt;"gaz",('élts calculs lgt ind'!AL8&lt;&gt;"gaz"),('Saisie maison'!G15="gaz de ville")),'élts calculs lgt ind'!AN17,0)/12),"-",'élts calculs lgt ind'!AO31/12+IF(AND('élts calculs lgt ind'!AK8&lt;&gt;"gaz",('élts calculs lgt ind'!AL8&lt;&gt;"gaz"),('Saisie maison'!G15="gaz de ville")),'élts calculs lgt ind'!AN17,0)/12)</f>
        <v>-</v>
      </c>
      <c r="I7" s="75">
        <f>IF(ISERROR(D7+E7+F7+G7+H7),0,D7+E7+F7+G7+H7)</f>
        <v>0</v>
      </c>
      <c r="J7" s="74">
        <f>(('Saisie maison'!K15*'Saisie maison'!C15)+'Saisie maison'!L15+'Saisie maison'!M15+'Saisie maison'!N15+'Saisie maison'!O15)/12</f>
        <v>0</v>
      </c>
      <c r="K7" s="74">
        <f>I7+'Saisie maison'!J15+J7</f>
        <v>0</v>
      </c>
      <c r="L7" s="74">
        <f>K7-'Saisie maison'!U15</f>
        <v>0</v>
      </c>
      <c r="M7" s="75">
        <f>'Saisie maison'!R15+'Saisie maison'!S15-'Résultat maison'!L7</f>
        <v>0</v>
      </c>
      <c r="N7" s="76">
        <f>IF('Saisie maison'!H15&gt;0,1+0.5*('Saisie maison'!H15-1)+0.3*'Saisie maison'!I15,0)</f>
        <v>0</v>
      </c>
      <c r="O7" s="77">
        <f>IF(ISERROR(M7/(N7*30)),0,M7/(N7*30))</f>
        <v>0</v>
      </c>
      <c r="P7" s="78">
        <f>IF(ISERROR(L7/('Saisie maison'!R15+'Saisie maison'!S15)),0,L7/('Saisie maison'!R15+'Saisie maison'!S15))</f>
        <v>0</v>
      </c>
      <c r="Q7" s="65"/>
      <c r="R7" s="74">
        <f>IF(ISERROR('Cheque Energie'!G18),0,'Cheque Energie'!G18)</f>
        <v>0</v>
      </c>
      <c r="S7" s="74">
        <f>R7/12</f>
        <v>0</v>
      </c>
      <c r="T7" s="74">
        <f>M7+S7</f>
        <v>0</v>
      </c>
      <c r="U7" s="79">
        <f>IF(ISERROR((L7-S7)/('Saisie maison'!R15+'Saisie maison'!S15)),0,(L7-S7)/('Saisie maison'!R15+'Saisie maison'!S15))</f>
        <v>0</v>
      </c>
    </row>
    <row r="8" spans="1:21" s="80" customFormat="1" ht="15.75" x14ac:dyDescent="0.25">
      <c r="A8" s="72" t="s">
        <v>92</v>
      </c>
      <c r="B8" s="72">
        <f>'Saisie maison'!B16</f>
        <v>0</v>
      </c>
      <c r="C8" s="72">
        <f>'Saisie maison'!C16</f>
        <v>0</v>
      </c>
      <c r="D8" s="73" t="str">
        <f>IF(ISNA(IF('élts calculs lgt ind'!AG19&gt;100,'élts calculs lgt ind'!AG19/12,5)),"-",IF('élts calculs lgt ind'!AG19&gt;100,'élts calculs lgt ind'!AG19/12,5))</f>
        <v>-</v>
      </c>
      <c r="E8" s="74" t="str">
        <f>IF(ISNA('élts calculs lgt ind'!AY40/12+IF(AND('élts calculs lgt ind'!AK9&lt;&gt;"gaz",('élts calculs lgt ind'!AL9="gaz")),'élts calculs lgt ind'!AN18,0)/12),"-",'élts calculs lgt ind'!AY40/12+IF(AND('élts calculs lgt ind'!AK9&lt;&gt;"gaz",('élts calculs lgt ind'!AL9="gaz")),'élts calculs lgt ind'!AN18,0)/12)</f>
        <v>-</v>
      </c>
      <c r="F8" s="74">
        <f>'élts calculs lgt ind'!BF16/12</f>
        <v>0</v>
      </c>
      <c r="G8" s="73" t="str">
        <f>IF(ISNA('élts calculs lgt ind'!AO25/12),"-",'élts calculs lgt ind'!AO25/12)</f>
        <v>-</v>
      </c>
      <c r="H8" s="73" t="str">
        <f>IF(ISNA('élts calculs lgt ind'!AO32/12+IF(AND('élts calculs lgt ind'!AK9&lt;&gt;"gaz",('élts calculs lgt ind'!AL9&lt;&gt;"gaz"),('Saisie maison'!G16="gaz de ville")),'élts calculs lgt ind'!AN18,0)/12),"-",'élts calculs lgt ind'!AO32/12+IF(AND('élts calculs lgt ind'!AK9&lt;&gt;"gaz",('élts calculs lgt ind'!AL9&lt;&gt;"gaz"),('Saisie maison'!G16="gaz de ville")),'élts calculs lgt ind'!AN18,0)/12)</f>
        <v>-</v>
      </c>
      <c r="I8" s="75">
        <f>IF(ISERROR(D8+E8+F8+G8+H8),0,D8+E8+F8+G8+H8)</f>
        <v>0</v>
      </c>
      <c r="J8" s="74">
        <f>(('Saisie maison'!K16*'Saisie maison'!C16)+'Saisie maison'!L16+'Saisie maison'!M16+'Saisie maison'!N16+'Saisie maison'!O16)/12</f>
        <v>0</v>
      </c>
      <c r="K8" s="74">
        <f>I8+'Saisie maison'!J16+J8</f>
        <v>0</v>
      </c>
      <c r="L8" s="74">
        <f>K8-'Saisie maison'!U16</f>
        <v>0</v>
      </c>
      <c r="M8" s="75">
        <f>'Saisie maison'!R16+'Saisie maison'!S16-'Résultat maison'!L8</f>
        <v>0</v>
      </c>
      <c r="N8" s="76">
        <f>IF('Saisie maison'!H16&gt;0,1+0.5*('Saisie maison'!H16-1)+0.3*'Saisie maison'!I16,0)</f>
        <v>0</v>
      </c>
      <c r="O8" s="77">
        <f>IF(ISERROR(M8/(N8*30)),0,M8/(N8*30))</f>
        <v>0</v>
      </c>
      <c r="P8" s="78">
        <f>IF(ISERROR(L8/('Saisie maison'!R16+'Saisie maison'!S16)),0,L8/('Saisie maison'!R16+'Saisie maison'!S16))</f>
        <v>0</v>
      </c>
      <c r="Q8" s="65"/>
      <c r="R8" s="74">
        <f>IF(ISERROR('Cheque Energie'!G19),0,'Cheque Energie'!G19)</f>
        <v>0</v>
      </c>
      <c r="S8" s="74">
        <f>R8/12</f>
        <v>0</v>
      </c>
      <c r="T8" s="74">
        <f>M8+S8</f>
        <v>0</v>
      </c>
      <c r="U8" s="79">
        <f>IF(ISERROR((L8-S8)/('Saisie maison'!R16+'Saisie maison'!S16)),0,(L8-S8)/('Saisie maison'!R16+'Saisie maison'!S16))</f>
        <v>0</v>
      </c>
    </row>
    <row r="9" spans="1:21" s="80" customFormat="1" ht="15.75" x14ac:dyDescent="0.25">
      <c r="A9" s="72" t="s">
        <v>93</v>
      </c>
      <c r="B9" s="72">
        <f>'Saisie maison'!B17</f>
        <v>0</v>
      </c>
      <c r="C9" s="72">
        <f>'Saisie maison'!C17</f>
        <v>0</v>
      </c>
      <c r="D9" s="73" t="str">
        <f>IF(ISNA(IF('élts calculs lgt ind'!AH19&gt;100,'élts calculs lgt ind'!AH19/12,5)),"-",IF('élts calculs lgt ind'!AH19&gt;100,'élts calculs lgt ind'!AH19/12,5))</f>
        <v>-</v>
      </c>
      <c r="E9" s="74" t="str">
        <f>IF(ISNA('élts calculs lgt ind'!AY41/12+IF(AND('élts calculs lgt ind'!AK10&lt;&gt;"gaz",('élts calculs lgt ind'!AL10="gaz")),'élts calculs lgt ind'!AN19,0)/12),"-",'élts calculs lgt ind'!AY41/12+IF(AND('élts calculs lgt ind'!AK10&lt;&gt;"gaz",('élts calculs lgt ind'!AL10="gaz")),'élts calculs lgt ind'!AN19,0)/12)</f>
        <v>-</v>
      </c>
      <c r="F9" s="73">
        <f>'élts calculs lgt ind'!BH16/12</f>
        <v>0</v>
      </c>
      <c r="G9" s="73" t="str">
        <f>IF(ISNA('élts calculs lgt ind'!AO26/12),"-",'élts calculs lgt ind'!AO26/12)</f>
        <v>-</v>
      </c>
      <c r="H9" s="73" t="str">
        <f>IF(ISNA('élts calculs lgt ind'!AO33/12+IF(AND('élts calculs lgt ind'!AK10&lt;&gt;"gaz",('élts calculs lgt ind'!AL10&lt;&gt;"gaz"),('Saisie maison'!G17="gaz de ville")),'élts calculs lgt ind'!AN19,0)/12),"-",'élts calculs lgt ind'!AO33/12+IF(AND('élts calculs lgt ind'!AK10&lt;&gt;"gaz",('élts calculs lgt ind'!AL10&lt;&gt;"gaz"),('Saisie maison'!G17="gaz de ville")),'élts calculs lgt ind'!AN19,0)/12)</f>
        <v>-</v>
      </c>
      <c r="I9" s="75">
        <f>IF(ISERROR(D9+E9+F9+G9+H9),0,D9+E9+F9+G9+H9)</f>
        <v>0</v>
      </c>
      <c r="J9" s="74">
        <f>(('Saisie maison'!K17*'Saisie maison'!C17)+'Saisie maison'!L17+'Saisie maison'!M17+'Saisie maison'!N17+'Saisie maison'!O17)/12</f>
        <v>0</v>
      </c>
      <c r="K9" s="74">
        <f>I9+'Saisie maison'!J17+J9</f>
        <v>0</v>
      </c>
      <c r="L9" s="74">
        <f>K9-'Saisie maison'!U17</f>
        <v>0</v>
      </c>
      <c r="M9" s="75">
        <f>'Saisie maison'!R17+'Saisie maison'!S17-'Résultat maison'!L9</f>
        <v>0</v>
      </c>
      <c r="N9" s="76">
        <f>IF('Saisie maison'!H17&gt;0,1+0.5*('Saisie maison'!H17-1)+0.3*'Saisie maison'!I17,0)</f>
        <v>0</v>
      </c>
      <c r="O9" s="77">
        <f>IF(ISERROR(M9/(N9*30)),0,M9/(N9*30))</f>
        <v>0</v>
      </c>
      <c r="P9" s="78">
        <f>IF(ISERROR(L9/('Saisie maison'!R17+'Saisie maison'!S17)),0,L9/('Saisie maison'!R17+'Saisie maison'!S17))</f>
        <v>0</v>
      </c>
      <c r="Q9" s="65"/>
      <c r="R9" s="74">
        <f>IF(ISERROR('Cheque Energie'!G20),0,'Cheque Energie'!G20)</f>
        <v>0</v>
      </c>
      <c r="S9" s="74">
        <f>R9/12</f>
        <v>0</v>
      </c>
      <c r="T9" s="74">
        <f>M9+S9</f>
        <v>0</v>
      </c>
      <c r="U9" s="79">
        <f>IF(ISERROR((L9-S9)/('Saisie maison'!R17+'Saisie maison'!S17)),0,(L9-S9)/('Saisie maison'!R17+'Saisie maison'!S17))</f>
        <v>0</v>
      </c>
    </row>
    <row r="10" spans="1:21" ht="9.75" customHeight="1" x14ac:dyDescent="0.25"/>
    <row r="11" spans="1:21" ht="21.75" customHeight="1" x14ac:dyDescent="0.25">
      <c r="B11" s="281" t="s">
        <v>142</v>
      </c>
      <c r="C11" s="281"/>
      <c r="D11" s="281"/>
      <c r="E11" s="281"/>
      <c r="F11" s="281"/>
      <c r="H11" s="282" t="s">
        <v>143</v>
      </c>
      <c r="I11" s="282"/>
      <c r="J11" s="282"/>
      <c r="K11" s="282"/>
    </row>
    <row r="12" spans="1:21" ht="22.5" customHeight="1" x14ac:dyDescent="0.25">
      <c r="B12" s="283" t="s">
        <v>144</v>
      </c>
      <c r="C12" s="283"/>
      <c r="D12" s="283" t="s">
        <v>145</v>
      </c>
      <c r="E12" s="283" t="s">
        <v>146</v>
      </c>
      <c r="F12" s="283" t="s">
        <v>145</v>
      </c>
      <c r="H12" s="282"/>
      <c r="I12" s="282"/>
      <c r="J12" s="282"/>
      <c r="K12" s="282"/>
    </row>
    <row r="13" spans="1:21" ht="27" customHeight="1" x14ac:dyDescent="0.25">
      <c r="B13" s="283"/>
      <c r="C13" s="283"/>
      <c r="D13" s="283"/>
      <c r="E13" s="283"/>
      <c r="F13" s="283"/>
      <c r="H13" s="284" t="s">
        <v>147</v>
      </c>
      <c r="I13" s="284"/>
      <c r="J13" s="284" t="s">
        <v>148</v>
      </c>
      <c r="K13" s="284"/>
    </row>
    <row r="14" spans="1:21" x14ac:dyDescent="0.25">
      <c r="A14" s="285" t="s">
        <v>84</v>
      </c>
      <c r="B14" s="286">
        <f>IF(ISNA('élts calculs lgt ind'!AD18+'élts calculs lgt ind'!AN22+'élts calculs lgt ind'!AN29+'élts calculs lgt ind'!AY35),"-",'élts calculs lgt ind'!AD18+'élts calculs lgt ind'!AN22+'élts calculs lgt ind'!AN29+'élts calculs lgt ind'!AY35)</f>
        <v>5171.5072463768147</v>
      </c>
      <c r="C14" s="286"/>
      <c r="D14" s="287">
        <f>IF(ISERROR(B14/'Saisie maison'!C13),0,B14/'Saisie maison'!C13)</f>
        <v>103.43014492753629</v>
      </c>
      <c r="E14" s="286">
        <f>IF(ISNA('élts calculs lgt ind'!AD18),"-",'élts calculs lgt ind'!AD18)</f>
        <v>911.50724637681492</v>
      </c>
      <c r="F14" s="287">
        <f>IF(ISERROR(E14/'Saisie maison'!C13),0,E14/'Saisie maison'!C13)</f>
        <v>18.230144927536298</v>
      </c>
      <c r="H14" s="284"/>
      <c r="I14" s="284"/>
      <c r="J14" s="284"/>
      <c r="K14" s="284"/>
    </row>
    <row r="15" spans="1:21" ht="15" customHeight="1" x14ac:dyDescent="0.25">
      <c r="A15" s="285"/>
      <c r="B15" s="286"/>
      <c r="C15" s="286"/>
      <c r="D15" s="287"/>
      <c r="E15" s="286"/>
      <c r="F15" s="287"/>
      <c r="H15" s="284"/>
      <c r="I15" s="284"/>
      <c r="J15" s="284"/>
      <c r="K15" s="284"/>
    </row>
    <row r="16" spans="1:21" ht="15" customHeight="1" x14ac:dyDescent="0.25">
      <c r="A16" s="285" t="s">
        <v>90</v>
      </c>
      <c r="B16" s="286" t="str">
        <f>IF(ISNA('élts calculs lgt ind'!AE18+'élts calculs lgt ind'!AN23+'élts calculs lgt ind'!AN30+'élts calculs lgt ind'!BA35),"-",'élts calculs lgt ind'!AE18+'élts calculs lgt ind'!AN23+'élts calculs lgt ind'!AN30+'élts calculs lgt ind'!BA35)</f>
        <v>-</v>
      </c>
      <c r="C16" s="286"/>
      <c r="D16" s="287">
        <f>IF(ISERROR(B16/'Saisie maison'!C14),0,B16/'Saisie maison'!C14)</f>
        <v>0</v>
      </c>
      <c r="E16" s="286" t="str">
        <f>IF(ISNA('élts calculs lgt ind'!AE18),"-",'élts calculs lgt ind'!AE18)</f>
        <v>-</v>
      </c>
      <c r="F16" s="287">
        <f>IF(ISERROR(E16/'Saisie maison'!C14),0,E16/'Saisie maison'!C14)</f>
        <v>0</v>
      </c>
      <c r="H16" s="82"/>
      <c r="I16" s="82"/>
      <c r="J16" s="82"/>
      <c r="K16" s="82"/>
    </row>
    <row r="17" spans="1:11" ht="15" customHeight="1" x14ac:dyDescent="0.25">
      <c r="A17" s="285"/>
      <c r="B17" s="286"/>
      <c r="C17" s="286"/>
      <c r="D17" s="287"/>
      <c r="E17" s="286"/>
      <c r="F17" s="287"/>
      <c r="H17" s="82"/>
      <c r="I17" s="82"/>
      <c r="J17" s="82"/>
      <c r="K17" s="82"/>
    </row>
    <row r="18" spans="1:11" ht="15" customHeight="1" x14ac:dyDescent="0.25">
      <c r="A18" s="285" t="s">
        <v>91</v>
      </c>
      <c r="B18" s="286" t="str">
        <f>IF(ISNA('élts calculs lgt ind'!AF18+'élts calculs lgt ind'!AN24+'élts calculs lgt ind'!AN31+'élts calculs lgt ind'!BC35),"-",'élts calculs lgt ind'!AF18+'élts calculs lgt ind'!AN24+'élts calculs lgt ind'!AN31+'élts calculs lgt ind'!BC35)</f>
        <v>-</v>
      </c>
      <c r="C18" s="286"/>
      <c r="D18" s="287">
        <f>IF(ISERROR(B18/'Saisie maison'!C15),0,B18/'Saisie maison'!C15)</f>
        <v>0</v>
      </c>
      <c r="E18" s="286" t="str">
        <f>IF(ISNA('élts calculs lgt ind'!AF18),"-",'élts calculs lgt ind'!AF18)</f>
        <v>-</v>
      </c>
      <c r="F18" s="287">
        <f>IF(ISERROR(E18/'Saisie maison'!C15),0,E18/'Saisie maison'!C15)</f>
        <v>0</v>
      </c>
      <c r="H18" s="82"/>
      <c r="I18" s="82"/>
      <c r="J18" s="82"/>
      <c r="K18" s="82"/>
    </row>
    <row r="19" spans="1:11" ht="15" customHeight="1" x14ac:dyDescent="0.25">
      <c r="A19" s="285"/>
      <c r="B19" s="286"/>
      <c r="C19" s="286"/>
      <c r="D19" s="287"/>
      <c r="E19" s="286"/>
      <c r="F19" s="287"/>
      <c r="H19" s="82"/>
      <c r="I19" s="82"/>
      <c r="J19" s="82"/>
      <c r="K19" s="82"/>
    </row>
    <row r="20" spans="1:11" ht="15" customHeight="1" x14ac:dyDescent="0.25">
      <c r="A20" s="285" t="s">
        <v>92</v>
      </c>
      <c r="B20" s="286" t="str">
        <f>IF(ISNA('élts calculs lgt ind'!AG18+'élts calculs lgt ind'!AN25+'élts calculs lgt ind'!AN32+'élts calculs lgt ind'!BE35),"-",'élts calculs lgt ind'!AG18+'élts calculs lgt ind'!AN25+'élts calculs lgt ind'!AN32+'élts calculs lgt ind'!BE35)</f>
        <v>-</v>
      </c>
      <c r="C20" s="286"/>
      <c r="D20" s="287">
        <f>IF(ISERROR(B20/'Saisie maison'!C16),0,B20/'Saisie maison'!C16)</f>
        <v>0</v>
      </c>
      <c r="E20" s="286" t="str">
        <f>IF(ISNA('élts calculs lgt ind'!AG18),"-",'élts calculs lgt ind'!AG18)</f>
        <v>-</v>
      </c>
      <c r="F20" s="287">
        <f>IF(ISERROR(E20/'Saisie maison'!C16),0,E20/'Saisie maison'!C16)</f>
        <v>0</v>
      </c>
    </row>
    <row r="21" spans="1:11" ht="15" customHeight="1" x14ac:dyDescent="0.25">
      <c r="A21" s="285"/>
      <c r="B21" s="286"/>
      <c r="C21" s="286"/>
      <c r="D21" s="287"/>
      <c r="E21" s="286"/>
      <c r="F21" s="287"/>
    </row>
    <row r="22" spans="1:11" ht="15" customHeight="1" x14ac:dyDescent="0.25">
      <c r="A22" s="285" t="s">
        <v>93</v>
      </c>
      <c r="B22" s="286" t="str">
        <f>IF(ISNA('élts calculs lgt ind'!AH18+'élts calculs lgt ind'!AN26+'élts calculs lgt ind'!AN33+'élts calculs lgt ind'!BG35),"-",'élts calculs lgt ind'!AH18+'élts calculs lgt ind'!AN26+'élts calculs lgt ind'!AN33+'élts calculs lgt ind'!BG35)</f>
        <v>-</v>
      </c>
      <c r="C22" s="286"/>
      <c r="D22" s="287">
        <f>IF(ISERROR(B22/'Saisie maison'!C17),0,B22/'Saisie maison'!C17)</f>
        <v>0</v>
      </c>
      <c r="E22" s="286" t="str">
        <f>IF(ISNA('élts calculs lgt ind'!AH18),"-",'élts calculs lgt ind'!AH18)</f>
        <v>-</v>
      </c>
      <c r="F22" s="287">
        <f>IF(ISERROR(E22/'Saisie maison'!C17),0,E22/'Saisie maison'!C17)</f>
        <v>0</v>
      </c>
    </row>
    <row r="23" spans="1:11" x14ac:dyDescent="0.25">
      <c r="A23" s="285"/>
      <c r="B23" s="286"/>
      <c r="C23" s="286"/>
      <c r="D23" s="287"/>
      <c r="E23" s="286"/>
      <c r="F23" s="287"/>
    </row>
    <row r="24" spans="1:11" x14ac:dyDescent="0.25">
      <c r="A24" t="s">
        <v>149</v>
      </c>
    </row>
  </sheetData>
  <mergeCells count="43">
    <mergeCell ref="A22:A23"/>
    <mergeCell ref="B22:C23"/>
    <mergeCell ref="D22:D23"/>
    <mergeCell ref="E22:E23"/>
    <mergeCell ref="F22:F23"/>
    <mergeCell ref="A20:A21"/>
    <mergeCell ref="B20:C21"/>
    <mergeCell ref="D20:D21"/>
    <mergeCell ref="E20:E21"/>
    <mergeCell ref="F20:F21"/>
    <mergeCell ref="A18:A19"/>
    <mergeCell ref="B18:C19"/>
    <mergeCell ref="D18:D19"/>
    <mergeCell ref="E18:E19"/>
    <mergeCell ref="F18:F19"/>
    <mergeCell ref="A16:A17"/>
    <mergeCell ref="B16:C17"/>
    <mergeCell ref="D16:D17"/>
    <mergeCell ref="E16:E17"/>
    <mergeCell ref="F16:F17"/>
    <mergeCell ref="A14:A15"/>
    <mergeCell ref="B14:C15"/>
    <mergeCell ref="D14:D15"/>
    <mergeCell ref="E14:E15"/>
    <mergeCell ref="F14:F15"/>
    <mergeCell ref="B11:F11"/>
    <mergeCell ref="H11:K12"/>
    <mergeCell ref="B12:C13"/>
    <mergeCell ref="D12:D13"/>
    <mergeCell ref="E12:E13"/>
    <mergeCell ref="F12:F13"/>
    <mergeCell ref="H13:I15"/>
    <mergeCell ref="J13:K15"/>
    <mergeCell ref="A1:U1"/>
    <mergeCell ref="A2:C2"/>
    <mergeCell ref="D2:I2"/>
    <mergeCell ref="A3:A4"/>
    <mergeCell ref="B3:B4"/>
    <mergeCell ref="C3:C4"/>
    <mergeCell ref="D3:I3"/>
    <mergeCell ref="J3:K3"/>
    <mergeCell ref="M3:P3"/>
    <mergeCell ref="R3:U3"/>
  </mergeCells>
  <conditionalFormatting sqref="D2 D5:P9 T5:U9">
    <cfRule type="containsErrors" dxfId="7" priority="2">
      <formula>0</formula>
    </cfRule>
  </conditionalFormatting>
  <conditionalFormatting sqref="R5:S9">
    <cfRule type="containsErrors" dxfId="6" priority="3">
      <formula>0</formula>
    </cfRule>
  </conditionalFormatting>
  <pageMargins left="0.25" right="0.25" top="0.75" bottom="0.75" header="0.51180555555555496" footer="0.51180555555555496"/>
  <pageSetup paperSize="9" firstPageNumber="0" orientation="landscape"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67"/>
  <sheetViews>
    <sheetView zoomScale="75" zoomScaleNormal="75" workbookViewId="0">
      <selection activeCell="BI26" sqref="BI26"/>
    </sheetView>
  </sheetViews>
  <sheetFormatPr baseColWidth="10" defaultColWidth="9.140625" defaultRowHeight="15" x14ac:dyDescent="0.25"/>
  <cols>
    <col min="1" max="1" width="16.42578125" style="21" customWidth="1"/>
    <col min="2" max="2" width="11.42578125" style="21"/>
    <col min="3" max="3" width="13.140625" style="21" customWidth="1"/>
    <col min="4" max="10" width="21.42578125" style="21" customWidth="1"/>
    <col min="11" max="20" width="11.42578125" style="21"/>
    <col min="21" max="21" width="13.140625" style="21" customWidth="1"/>
    <col min="22" max="22" width="22.28515625" style="21" customWidth="1"/>
    <col min="23" max="24" width="11.42578125" style="21"/>
    <col min="25" max="25" width="27.140625" style="21" customWidth="1"/>
    <col min="26" max="27" width="11.42578125" style="21"/>
    <col min="28" max="28" width="15.28515625" style="21" customWidth="1"/>
    <col min="29" max="29" width="30" style="21" customWidth="1"/>
    <col min="30" max="34" width="9.140625" style="21" customWidth="1"/>
    <col min="35" max="38" width="11.42578125" style="21"/>
    <col min="39" max="39" width="16.7109375" style="21" customWidth="1"/>
    <col min="40" max="40" width="59.85546875" style="21" customWidth="1"/>
    <col min="41" max="41" width="25.42578125" style="21" customWidth="1"/>
    <col min="42" max="46" width="10.42578125" style="21" customWidth="1"/>
    <col min="47" max="48" width="11.42578125" style="21"/>
    <col min="49" max="49" width="29.42578125" style="21" customWidth="1"/>
    <col min="50" max="50" width="23.85546875" style="21" customWidth="1"/>
    <col min="51" max="51" width="15" style="21" customWidth="1"/>
    <col min="52" max="56" width="11.85546875" style="21" customWidth="1"/>
    <col min="57" max="57" width="15" style="21" customWidth="1"/>
    <col min="58" max="58" width="11.85546875" style="21" customWidth="1"/>
    <col min="59" max="59" width="15" style="21" customWidth="1"/>
    <col min="60" max="60" width="11.85546875" style="21" customWidth="1"/>
    <col min="61" max="61" width="19" style="21" customWidth="1"/>
    <col min="62" max="1025" width="11.42578125" style="21"/>
  </cols>
  <sheetData>
    <row r="2" spans="1:60" x14ac:dyDescent="0.25">
      <c r="A2" s="288" t="s">
        <v>150</v>
      </c>
      <c r="B2" s="288" t="s">
        <v>151</v>
      </c>
      <c r="C2" s="288" t="s">
        <v>152</v>
      </c>
      <c r="D2" s="288"/>
      <c r="E2" s="288"/>
      <c r="F2" s="288"/>
      <c r="G2" s="288"/>
      <c r="H2" s="288"/>
      <c r="I2" s="288"/>
      <c r="J2" s="288"/>
      <c r="AB2" s="289" t="s">
        <v>153</v>
      </c>
      <c r="AC2" s="289"/>
      <c r="AD2" s="21">
        <f>IF('Saisie maison'!G10='élts calculs lgt ind'!AI31,17,IF('Saisie maison'!G10='élts calculs lgt ind'!AI32,18,19))</f>
        <v>19</v>
      </c>
    </row>
    <row r="3" spans="1:60" x14ac:dyDescent="0.25">
      <c r="A3" s="288"/>
      <c r="B3" s="288"/>
      <c r="C3" s="288" t="s">
        <v>154</v>
      </c>
      <c r="D3" s="288"/>
      <c r="E3" s="288" t="s">
        <v>155</v>
      </c>
      <c r="F3" s="288"/>
      <c r="G3" s="288" t="s">
        <v>156</v>
      </c>
      <c r="H3" s="288"/>
      <c r="I3" s="288" t="s">
        <v>157</v>
      </c>
      <c r="J3" s="288"/>
    </row>
    <row r="4" spans="1:60" x14ac:dyDescent="0.25">
      <c r="A4" s="288"/>
      <c r="B4" s="288"/>
      <c r="C4" s="288"/>
      <c r="D4" s="288"/>
      <c r="E4" s="288"/>
      <c r="F4" s="288"/>
      <c r="G4" s="288"/>
      <c r="H4" s="288"/>
      <c r="I4" s="288"/>
      <c r="J4" s="288"/>
      <c r="K4" s="290" t="s">
        <v>158</v>
      </c>
      <c r="L4" s="290"/>
      <c r="M4" s="290" t="s">
        <v>159</v>
      </c>
      <c r="N4" s="290"/>
      <c r="O4" s="290" t="s">
        <v>160</v>
      </c>
      <c r="P4" s="290"/>
      <c r="Q4" s="290" t="s">
        <v>161</v>
      </c>
      <c r="R4" s="290"/>
      <c r="S4" s="290" t="s">
        <v>162</v>
      </c>
      <c r="T4" s="290"/>
      <c r="Y4" s="21" t="s">
        <v>163</v>
      </c>
      <c r="AD4" s="83" t="s">
        <v>164</v>
      </c>
      <c r="AE4" s="83" t="s">
        <v>165</v>
      </c>
      <c r="AF4" s="83" t="s">
        <v>166</v>
      </c>
      <c r="AG4" s="83" t="s">
        <v>167</v>
      </c>
      <c r="AH4" s="83" t="s">
        <v>168</v>
      </c>
      <c r="AM4" s="291" t="s">
        <v>169</v>
      </c>
      <c r="AN4" s="291"/>
      <c r="AO4" s="291"/>
    </row>
    <row r="5" spans="1:60" ht="15" customHeight="1" x14ac:dyDescent="0.25">
      <c r="A5" s="288"/>
      <c r="B5" s="288"/>
      <c r="C5" s="84" t="s">
        <v>170</v>
      </c>
      <c r="D5" s="84" t="s">
        <v>50</v>
      </c>
      <c r="E5" s="84" t="s">
        <v>170</v>
      </c>
      <c r="F5" s="84" t="s">
        <v>50</v>
      </c>
      <c r="G5" s="84" t="s">
        <v>170</v>
      </c>
      <c r="H5" s="84" t="s">
        <v>50</v>
      </c>
      <c r="I5" s="84" t="s">
        <v>170</v>
      </c>
      <c r="J5" s="84" t="s">
        <v>50</v>
      </c>
      <c r="K5" s="85" t="s">
        <v>171</v>
      </c>
      <c r="L5" s="85" t="s">
        <v>172</v>
      </c>
      <c r="M5" s="85" t="s">
        <v>171</v>
      </c>
      <c r="N5" s="85" t="s">
        <v>172</v>
      </c>
      <c r="O5" s="85" t="s">
        <v>171</v>
      </c>
      <c r="P5" s="85" t="s">
        <v>172</v>
      </c>
      <c r="Q5" s="85" t="s">
        <v>171</v>
      </c>
      <c r="R5" s="85" t="s">
        <v>172</v>
      </c>
      <c r="S5" s="85" t="s">
        <v>171</v>
      </c>
      <c r="T5" s="85" t="s">
        <v>172</v>
      </c>
      <c r="U5" s="86" t="s">
        <v>173</v>
      </c>
      <c r="V5" s="86" t="s">
        <v>174</v>
      </c>
      <c r="W5" s="86"/>
      <c r="X5" s="86"/>
      <c r="Y5" s="86" t="s">
        <v>175</v>
      </c>
      <c r="Z5" s="86"/>
      <c r="AB5" s="291" t="s">
        <v>176</v>
      </c>
      <c r="AC5" s="291"/>
      <c r="AD5" s="87">
        <f>IF('Saisie maison'!C4="individuel",IF('Saisie maison'!C10='élts calculs lgt ind'!AC24,IF('Saisie maison'!C6='élts calculs lgt ind'!AC26,3,4),IF('Saisie maison'!C6='élts calculs lgt ind'!AC26,5,6)),IF('Saisie maison'!C10='élts calculs lgt ind'!AC24,IF('Saisie maison'!C6='élts calculs lgt ind'!AC26,7,8),IF('Saisie maison'!C6='élts calculs lgt ind'!AC26,9,10)))</f>
        <v>10</v>
      </c>
      <c r="AE5" s="87">
        <f>IF('Saisie maison'!C4="individuel",IF('Saisie maison'!C10='élts calculs lgt ind'!AC24,IF('Saisie maison'!C6='élts calculs lgt ind'!AC26,3,4),IF('Saisie maison'!C6='élts calculs lgt ind'!AC26,5,6)),IF('Saisie maison'!C10='élts calculs lgt ind'!AC24,IF('Saisie maison'!C6='élts calculs lgt ind'!AC26,7,8),IF('Saisie maison'!C6='élts calculs lgt ind'!AC26,9,10)))</f>
        <v>10</v>
      </c>
      <c r="AF5" s="87">
        <f>IF('Saisie maison'!C4="individuel",IF('Saisie maison'!C10='élts calculs lgt ind'!AC24,IF('Saisie maison'!C6='élts calculs lgt ind'!AC26,3,4),IF('Saisie maison'!C6='élts calculs lgt ind'!AC26,5,6)),IF('Saisie maison'!C10='élts calculs lgt ind'!AC24,IF('Saisie maison'!C6='élts calculs lgt ind'!AC26,7,8),IF('Saisie maison'!C6='élts calculs lgt ind'!AC26,9,10)))</f>
        <v>10</v>
      </c>
      <c r="AG5" s="87">
        <f>IF('Saisie maison'!C4="individuel",IF('Saisie maison'!C10='élts calculs lgt ind'!AC24,IF('Saisie maison'!C6='élts calculs lgt ind'!AC26,3,4),IF('Saisie maison'!C6='élts calculs lgt ind'!AC26,5,6)),IF('Saisie maison'!C10='élts calculs lgt ind'!AC24,IF('Saisie maison'!C6='élts calculs lgt ind'!AC26,7,8),IF('Saisie maison'!C6='élts calculs lgt ind'!AC26,9,10)))</f>
        <v>10</v>
      </c>
      <c r="AH5" s="85">
        <f>IF('Saisie maison'!C4="individuel",IF('Saisie maison'!C10='élts calculs lgt ind'!AC24,IF('Saisie maison'!C6='élts calculs lgt ind'!AC26,3,4),IF('Saisie maison'!C6='élts calculs lgt ind'!AC26,5,6)),IF('Saisie maison'!C10='élts calculs lgt ind'!AC24,IF('Saisie maison'!C6='élts calculs lgt ind'!AC26,7,8),IF('Saisie maison'!C6='élts calculs lgt ind'!AC26,9,10)))</f>
        <v>10</v>
      </c>
      <c r="AK5" s="21" t="s">
        <v>177</v>
      </c>
      <c r="AL5" s="21" t="s">
        <v>178</v>
      </c>
      <c r="AM5" s="88" t="s">
        <v>179</v>
      </c>
      <c r="AN5" s="88" t="s">
        <v>180</v>
      </c>
      <c r="AO5" s="88" t="s">
        <v>181</v>
      </c>
      <c r="AT5" s="89"/>
      <c r="AU5" s="90"/>
      <c r="AV5" s="90"/>
    </row>
    <row r="6" spans="1:60" x14ac:dyDescent="0.25">
      <c r="A6" s="85" t="s">
        <v>182</v>
      </c>
      <c r="B6" s="85">
        <v>80</v>
      </c>
      <c r="C6" s="85">
        <v>7698</v>
      </c>
      <c r="D6" s="85">
        <v>5526</v>
      </c>
      <c r="E6" s="91">
        <f t="shared" ref="E6:E37" si="0">C6*1.1</f>
        <v>8467.8000000000011</v>
      </c>
      <c r="F6" s="91">
        <f t="shared" ref="F6:F37" si="1">D6*1.1</f>
        <v>6078.6</v>
      </c>
      <c r="G6" s="91">
        <v>5591.3333333333303</v>
      </c>
      <c r="H6" s="91">
        <v>4024.6666666666702</v>
      </c>
      <c r="I6" s="91">
        <f t="shared" ref="I6:I37" si="2">G6*1.1</f>
        <v>6150.4666666666635</v>
      </c>
      <c r="J6" s="92">
        <f t="shared" ref="J6:J37" si="3">H6*1.1</f>
        <v>4427.1333333333378</v>
      </c>
      <c r="K6" s="91">
        <f>600+'Saisie maison'!$C$13*7</f>
        <v>950</v>
      </c>
      <c r="L6" s="91">
        <f>1800+'Saisie maison'!$C$13*7</f>
        <v>2150</v>
      </c>
      <c r="M6" s="91">
        <f>600+'Saisie maison'!$C$14*7</f>
        <v>600</v>
      </c>
      <c r="N6" s="91">
        <f>1800+'Saisie maison'!$C$14*7</f>
        <v>1800</v>
      </c>
      <c r="O6" s="91">
        <f>600+'Saisie maison'!$C$15*7</f>
        <v>600</v>
      </c>
      <c r="P6" s="91">
        <f>1800+'Saisie maison'!$C$15*7</f>
        <v>1800</v>
      </c>
      <c r="Q6" s="91">
        <f>600+'Saisie maison'!$C$16*7</f>
        <v>600</v>
      </c>
      <c r="R6" s="91">
        <f>1800+'Saisie maison'!$C$16*7</f>
        <v>1800</v>
      </c>
      <c r="S6" s="91">
        <f>600+'Saisie maison'!$C$17*7</f>
        <v>600</v>
      </c>
      <c r="T6" s="91">
        <f>1800+'Saisie maison'!$C$17*7</f>
        <v>1800</v>
      </c>
      <c r="U6" s="93">
        <v>700</v>
      </c>
      <c r="V6" s="93">
        <f t="shared" ref="V6:V37" si="4">U6/2</f>
        <v>350</v>
      </c>
      <c r="W6" s="93">
        <v>0</v>
      </c>
      <c r="X6" s="93"/>
      <c r="Y6" s="93" t="s">
        <v>183</v>
      </c>
      <c r="Z6" s="93"/>
      <c r="AB6" s="291" t="s">
        <v>184</v>
      </c>
      <c r="AC6" s="291"/>
      <c r="AD6" s="91">
        <f>VLOOKUP('Saisie maison'!C3,'élts calculs lgt ind'!A6:L67,'élts calculs lgt ind'!AD5,0)</f>
        <v>1916.933333333337</v>
      </c>
      <c r="AE6" s="91">
        <f>VLOOKUP('Saisie maison'!C3,'élts calculs lgt ind'!A6:L67,'élts calculs lgt ind'!AD5,0)</f>
        <v>1916.933333333337</v>
      </c>
      <c r="AF6" s="91">
        <f>VLOOKUP('Saisie maison'!C3,'élts calculs lgt ind'!A6:L67,'élts calculs lgt ind'!AD5,0)</f>
        <v>1916.933333333337</v>
      </c>
      <c r="AG6" s="91">
        <f>VLOOKUP('Saisie maison'!C3,'élts calculs lgt ind'!A6:L67,'élts calculs lgt ind'!AD5,0)</f>
        <v>1916.933333333337</v>
      </c>
      <c r="AH6" s="91">
        <f>VLOOKUP('Saisie maison'!C3,'élts calculs lgt ind'!A6:L67,'élts calculs lgt ind'!AD5,0)</f>
        <v>1916.933333333337</v>
      </c>
      <c r="AJ6" s="85" t="s">
        <v>185</v>
      </c>
      <c r="AK6" s="85" t="str">
        <f>VLOOKUP('Saisie maison'!D13,'élts calculs lgt ind'!$AN$35:$AU$56,8,0)</f>
        <v>élec</v>
      </c>
      <c r="AL6" s="85" t="str">
        <f>VLOOKUP('Saisie maison'!E13,'élts calculs lgt ind'!AX21:BJ34,13,0)</f>
        <v>élec</v>
      </c>
      <c r="AM6" s="85">
        <f>IF(AND(('Saisie maison'!H13+'Saisie maison'!I13)&gt;0,('élts calculs lgt ind'!AK6="élec"),('Saisie maison'!C13&lt;70)),'Référence&amp;tarifs'!$A$8,IF(AND(('Saisie maison'!H13+'Saisie maison'!I13)&gt;0,('élts calculs lgt ind'!AK6="élec"),('élts calculs lgt ind'!AL6="élec"),('Saisie maison'!C13&gt;69)),'Référence&amp;tarifs'!$A$9,'Référence&amp;tarifs'!$A$7))</f>
        <v>9</v>
      </c>
      <c r="AN6" s="85">
        <f>VLOOKUP(AM6,'Référence&amp;tarifs'!$A$6:$C$10,2,0)</f>
        <v>142.08000000000001</v>
      </c>
      <c r="AO6" s="85">
        <f>VLOOKUP(AM6,'Référence&amp;tarifs'!$A$6:$C$10,3,0)</f>
        <v>0.15570000000000001</v>
      </c>
      <c r="AU6" s="94"/>
      <c r="AV6" s="94"/>
    </row>
    <row r="7" spans="1:60" x14ac:dyDescent="0.25">
      <c r="A7" s="85" t="s">
        <v>186</v>
      </c>
      <c r="B7" s="85">
        <v>47</v>
      </c>
      <c r="C7" s="85">
        <v>5083</v>
      </c>
      <c r="D7" s="85">
        <v>3534</v>
      </c>
      <c r="E7" s="91">
        <f t="shared" si="0"/>
        <v>5591.3</v>
      </c>
      <c r="F7" s="91">
        <f t="shared" si="1"/>
        <v>3887.4</v>
      </c>
      <c r="G7" s="91">
        <v>3580.3333333333298</v>
      </c>
      <c r="H7" s="91">
        <v>2503.3333333333298</v>
      </c>
      <c r="I7" s="91">
        <f t="shared" si="2"/>
        <v>3938.3666666666631</v>
      </c>
      <c r="J7" s="92">
        <f t="shared" si="3"/>
        <v>2753.6666666666629</v>
      </c>
      <c r="K7" s="91">
        <f>250+'Saisie maison'!$C$13*5</f>
        <v>500</v>
      </c>
      <c r="L7" s="85">
        <f>700+'Saisie maison'!$C$13*7</f>
        <v>1050</v>
      </c>
      <c r="M7" s="91">
        <f>250+'Saisie maison'!$C$14*5</f>
        <v>250</v>
      </c>
      <c r="N7" s="85">
        <f>700+'Saisie maison'!$C$14*7</f>
        <v>700</v>
      </c>
      <c r="O7" s="91">
        <f>250+'Saisie maison'!$C$15*5</f>
        <v>250</v>
      </c>
      <c r="P7" s="85">
        <f>700+'Saisie maison'!$C$15*7</f>
        <v>700</v>
      </c>
      <c r="Q7" s="91">
        <f>250+'Saisie maison'!$C$16*5</f>
        <v>250</v>
      </c>
      <c r="R7" s="85">
        <f>700+'Saisie maison'!$C$16*7</f>
        <v>700</v>
      </c>
      <c r="S7" s="91">
        <f>250+'Saisie maison'!$C$17*5</f>
        <v>250</v>
      </c>
      <c r="T7" s="85">
        <f>700+'Saisie maison'!$C$17*7</f>
        <v>700</v>
      </c>
      <c r="U7" s="93">
        <v>400</v>
      </c>
      <c r="V7" s="93">
        <f t="shared" si="4"/>
        <v>200</v>
      </c>
      <c r="W7" s="93">
        <v>0</v>
      </c>
      <c r="X7" s="93"/>
      <c r="Y7" s="93" t="s">
        <v>85</v>
      </c>
      <c r="Z7" s="93"/>
      <c r="AB7" s="291" t="s">
        <v>187</v>
      </c>
      <c r="AC7" s="291"/>
      <c r="AD7" s="85">
        <f>VLOOKUP('Saisie maison'!C3,'élts calculs lgt ind'!A6:L67,11,0)</f>
        <v>500</v>
      </c>
      <c r="AE7" s="85">
        <f>VLOOKUP('Saisie maison'!C3,A6:N67,13,0)</f>
        <v>250</v>
      </c>
      <c r="AF7" s="85">
        <f>VLOOKUP('Saisie maison'!C3,A6:P67,15,0)</f>
        <v>250</v>
      </c>
      <c r="AG7" s="85">
        <f>VLOOKUP('Saisie maison'!C3,A6:R67,17,0)</f>
        <v>250</v>
      </c>
      <c r="AH7" s="85">
        <f>VLOOKUP('Saisie maison'!C3,A6:T67,19,0)</f>
        <v>250</v>
      </c>
      <c r="AJ7" s="85" t="s">
        <v>188</v>
      </c>
      <c r="AK7" s="85" t="e">
        <f>VLOOKUP('Saisie maison'!D14,'élts calculs lgt ind'!$AN$35:$AU$56,8,0)</f>
        <v>#N/A</v>
      </c>
      <c r="AL7" s="85" t="e">
        <f>VLOOKUP('Saisie maison'!E14,'élts calculs lgt ind'!AX21:BJ34,13,0)</f>
        <v>#N/A</v>
      </c>
      <c r="AM7" s="85" t="e">
        <f>IF(AND(('Saisie maison'!H14+'Saisie maison'!I14)&gt;0,('élts calculs lgt ind'!AK7="élec"),('Saisie maison'!C14&lt;70)),'Référence&amp;tarifs'!$A$8,IF(AND(('Saisie maison'!H14+'Saisie maison'!I14)&gt;0,('élts calculs lgt ind'!AK7="élec"),('élts calculs lgt ind'!AL7="élec"),('Saisie maison'!C14&gt;69)),'Référence&amp;tarifs'!$A$9,'Référence&amp;tarifs'!$A$7))</f>
        <v>#N/A</v>
      </c>
      <c r="AN7" s="85" t="e">
        <f>VLOOKUP(AM7,'Référence&amp;tarifs'!$A$6:$C$10,2,0)</f>
        <v>#N/A</v>
      </c>
      <c r="AO7" s="85" t="e">
        <f>VLOOKUP(AM7,'Référence&amp;tarifs'!$A$6:$C$10,3,0)</f>
        <v>#N/A</v>
      </c>
      <c r="AU7" s="94"/>
      <c r="AV7" s="94"/>
    </row>
    <row r="8" spans="1:60" x14ac:dyDescent="0.25">
      <c r="A8" s="85" t="s">
        <v>189</v>
      </c>
      <c r="B8" s="85">
        <v>61</v>
      </c>
      <c r="C8" s="85">
        <v>7162</v>
      </c>
      <c r="D8" s="85">
        <v>5114</v>
      </c>
      <c r="E8" s="91">
        <f t="shared" si="0"/>
        <v>7878.2000000000007</v>
      </c>
      <c r="F8" s="91">
        <f t="shared" si="1"/>
        <v>5625.4000000000005</v>
      </c>
      <c r="G8" s="91">
        <v>5176.6666666666697</v>
      </c>
      <c r="H8" s="91">
        <v>3689.6666666666702</v>
      </c>
      <c r="I8" s="91">
        <f t="shared" si="2"/>
        <v>5694.3333333333376</v>
      </c>
      <c r="J8" s="92">
        <f t="shared" si="3"/>
        <v>4058.6333333333373</v>
      </c>
      <c r="K8" s="91">
        <f>600+'Saisie maison'!$C$13*7</f>
        <v>950</v>
      </c>
      <c r="L8" s="85">
        <f>1500+'Saisie maison'!$C$13*7</f>
        <v>1850</v>
      </c>
      <c r="M8" s="91">
        <f>600+'Saisie maison'!$C$14*7</f>
        <v>600</v>
      </c>
      <c r="N8" s="85">
        <f>1500+'Saisie maison'!$C$14*7</f>
        <v>1500</v>
      </c>
      <c r="O8" s="91">
        <f>600+'Saisie maison'!$C$15*7</f>
        <v>600</v>
      </c>
      <c r="P8" s="85">
        <f>1500+'Saisie maison'!$C$15*7</f>
        <v>1500</v>
      </c>
      <c r="Q8" s="91">
        <f>600+'Saisie maison'!$C$16*7</f>
        <v>600</v>
      </c>
      <c r="R8" s="85">
        <f>1500+'Saisie maison'!$C$16*7</f>
        <v>1500</v>
      </c>
      <c r="S8" s="91">
        <f>600+'Saisie maison'!$C$17*7</f>
        <v>600</v>
      </c>
      <c r="T8" s="85">
        <f>1500+'Saisie maison'!$C$17*7</f>
        <v>1500</v>
      </c>
      <c r="U8" s="93">
        <v>700</v>
      </c>
      <c r="V8" s="93">
        <f t="shared" si="4"/>
        <v>350</v>
      </c>
      <c r="W8" s="93">
        <v>0</v>
      </c>
      <c r="X8" s="93"/>
      <c r="Y8" s="93" t="s">
        <v>190</v>
      </c>
      <c r="Z8" s="93"/>
      <c r="AB8" s="291" t="s">
        <v>191</v>
      </c>
      <c r="AC8" s="291"/>
      <c r="AD8" s="85">
        <f>VLOOKUP('Saisie maison'!C3,'élts calculs lgt ind'!A6:L67,12,0)</f>
        <v>1050</v>
      </c>
      <c r="AE8" s="85">
        <f>VLOOKUP('Saisie maison'!C3,A6:N67,14,0)</f>
        <v>700</v>
      </c>
      <c r="AF8" s="85">
        <f>VLOOKUP('Saisie maison'!C3,A6:P67,16,0)</f>
        <v>700</v>
      </c>
      <c r="AG8" s="85">
        <f>VLOOKUP('Saisie maison'!C3,A6:T67,18,0)</f>
        <v>700</v>
      </c>
      <c r="AH8" s="85">
        <f>VLOOKUP('Saisie maison'!C3,A6:T67,20,0)</f>
        <v>700</v>
      </c>
      <c r="AJ8" s="85" t="s">
        <v>192</v>
      </c>
      <c r="AK8" s="85" t="e">
        <f>VLOOKUP('Saisie maison'!D15,'élts calculs lgt ind'!$AN$35:$AU$56,8,0)</f>
        <v>#N/A</v>
      </c>
      <c r="AL8" s="85" t="e">
        <f>VLOOKUP('Saisie maison'!E15,'élts calculs lgt ind'!AX21:BJ34,13,0)</f>
        <v>#N/A</v>
      </c>
      <c r="AM8" s="85" t="e">
        <f>IF(AND(('Saisie maison'!H15+'Saisie maison'!I15)&gt;0,('élts calculs lgt ind'!AK8="élec"),('Saisie maison'!C15&lt;70)),'Référence&amp;tarifs'!$A$8,IF(AND(('Saisie maison'!H15+'Saisie maison'!I15)&gt;0,('élts calculs lgt ind'!AK8="élec"),('élts calculs lgt ind'!AL8="élec"),('Saisie maison'!C15&gt;69)),'Référence&amp;tarifs'!$A$9,'Référence&amp;tarifs'!$A$7))</f>
        <v>#N/A</v>
      </c>
      <c r="AN8" s="85" t="e">
        <f>VLOOKUP(AM8,'Référence&amp;tarifs'!$A$6:$C$10,2,0)</f>
        <v>#N/A</v>
      </c>
      <c r="AO8" s="85" t="e">
        <f>VLOOKUP(AM8,'Référence&amp;tarifs'!$A$6:$C$10,3,0)</f>
        <v>#N/A</v>
      </c>
      <c r="AU8" s="94"/>
      <c r="AV8" s="94"/>
      <c r="AY8" s="292" t="s">
        <v>185</v>
      </c>
      <c r="AZ8" s="292"/>
      <c r="BA8" s="292" t="s">
        <v>188</v>
      </c>
      <c r="BB8" s="292"/>
      <c r="BC8" s="292" t="s">
        <v>192</v>
      </c>
      <c r="BD8" s="292"/>
      <c r="BE8" s="292" t="s">
        <v>193</v>
      </c>
      <c r="BF8" s="292"/>
      <c r="BG8" s="292" t="s">
        <v>194</v>
      </c>
      <c r="BH8" s="292"/>
    </row>
    <row r="9" spans="1:60" x14ac:dyDescent="0.25">
      <c r="A9" s="85" t="s">
        <v>195</v>
      </c>
      <c r="B9" s="85">
        <v>1</v>
      </c>
      <c r="C9" s="85">
        <v>6901</v>
      </c>
      <c r="D9" s="85">
        <v>5031</v>
      </c>
      <c r="E9" s="91">
        <f t="shared" si="0"/>
        <v>7591.1</v>
      </c>
      <c r="F9" s="91">
        <f t="shared" si="1"/>
        <v>5534.1</v>
      </c>
      <c r="G9" s="91">
        <v>5088.6666666666697</v>
      </c>
      <c r="H9" s="91">
        <v>3729</v>
      </c>
      <c r="I9" s="91">
        <f t="shared" si="2"/>
        <v>5597.5333333333374</v>
      </c>
      <c r="J9" s="92">
        <f t="shared" si="3"/>
        <v>4101.9000000000005</v>
      </c>
      <c r="K9" s="91">
        <f>600+'Saisie maison'!$C$13*7</f>
        <v>950</v>
      </c>
      <c r="L9" s="85">
        <f>1500+'Saisie maison'!$C$13*7</f>
        <v>1850</v>
      </c>
      <c r="M9" s="91">
        <f>600+'Saisie maison'!$C$14*7</f>
        <v>600</v>
      </c>
      <c r="N9" s="85">
        <f>1500+'Saisie maison'!$C$14*7</f>
        <v>1500</v>
      </c>
      <c r="O9" s="91">
        <f>600+'Saisie maison'!$C$15*7</f>
        <v>600</v>
      </c>
      <c r="P9" s="85">
        <f>1500+'Saisie maison'!$C$15*7</f>
        <v>1500</v>
      </c>
      <c r="Q9" s="91">
        <f>600+'Saisie maison'!$C$16*7</f>
        <v>600</v>
      </c>
      <c r="R9" s="85">
        <f>1500+'Saisie maison'!$C$16*7</f>
        <v>1500</v>
      </c>
      <c r="S9" s="91">
        <f>600+'Saisie maison'!$C$17*7</f>
        <v>600</v>
      </c>
      <c r="T9" s="85">
        <f>1500+'Saisie maison'!$C$17*7</f>
        <v>1500</v>
      </c>
      <c r="U9" s="93">
        <v>700</v>
      </c>
      <c r="V9" s="93">
        <f t="shared" si="4"/>
        <v>350</v>
      </c>
      <c r="W9" s="93">
        <v>0</v>
      </c>
      <c r="X9" s="93"/>
      <c r="Y9" s="93" t="s">
        <v>196</v>
      </c>
      <c r="Z9" s="93"/>
      <c r="AB9" s="291" t="s">
        <v>197</v>
      </c>
      <c r="AC9" s="291"/>
      <c r="AD9" s="91">
        <f>IF('Saisie maison'!C5='élts calculs lgt ind'!AC33,'élts calculs lgt ind'!AD6*(1-'élts calculs lgt ind'!AD33/100),IF('Saisie maison'!C5='élts calculs lgt ind'!AC34,'élts calculs lgt ind'!AD6*(1-'élts calculs lgt ind'!AD34/100),AD6))</f>
        <v>1821.08666666667</v>
      </c>
      <c r="AE9" s="91">
        <f>IF('Saisie maison'!C5='élts calculs lgt ind'!AC33,'élts calculs lgt ind'!AD6*(1-'élts calculs lgt ind'!AD33/100),IF('Saisie maison'!C5='élts calculs lgt ind'!AC34,'élts calculs lgt ind'!AD6*(1-'élts calculs lgt ind'!AD34/100),AD6))</f>
        <v>1821.08666666667</v>
      </c>
      <c r="AF9" s="91">
        <f>IF('Saisie maison'!C5='élts calculs lgt ind'!AC33,'élts calculs lgt ind'!AD6*(1-'élts calculs lgt ind'!AD33/100),IF('Saisie maison'!C5='élts calculs lgt ind'!AC34,'élts calculs lgt ind'!AD6*(1-'élts calculs lgt ind'!AD34/100),AD6))</f>
        <v>1821.08666666667</v>
      </c>
      <c r="AG9" s="91">
        <f>IF('Saisie maison'!C5='élts calculs lgt ind'!AC33,'élts calculs lgt ind'!AD6*(1-'élts calculs lgt ind'!AD33/100),IF('Saisie maison'!C5='élts calculs lgt ind'!AC34,'élts calculs lgt ind'!AD6*(1-'élts calculs lgt ind'!AD34/100),AD6))</f>
        <v>1821.08666666667</v>
      </c>
      <c r="AH9" s="95">
        <f>IF('Saisie maison'!C5='élts calculs lgt ind'!AC33,'élts calculs lgt ind'!AD6*(1-'élts calculs lgt ind'!AD33/100),IF('Saisie maison'!C5='élts calculs lgt ind'!AC34,'élts calculs lgt ind'!AD6*(1-'élts calculs lgt ind'!AD34/100),AD6))</f>
        <v>1821.08666666667</v>
      </c>
      <c r="AJ9" s="85" t="s">
        <v>193</v>
      </c>
      <c r="AK9" s="85" t="e">
        <f>VLOOKUP('Saisie maison'!D16,'élts calculs lgt ind'!$AN$35:$AU$56,8,0)</f>
        <v>#N/A</v>
      </c>
      <c r="AL9" s="85" t="e">
        <f>VLOOKUP('Saisie maison'!E16,'élts calculs lgt ind'!AX21:BJ34,13,0)</f>
        <v>#N/A</v>
      </c>
      <c r="AM9" s="85" t="e">
        <f>IF(AND(('Saisie maison'!H16+'Saisie maison'!I16)&gt;0,('élts calculs lgt ind'!AK9="élec"),('Saisie maison'!C16&lt;70)),'Référence&amp;tarifs'!$A$8,IF(AND(('Saisie maison'!H16+'Saisie maison'!I16)&gt;0,('élts calculs lgt ind'!AK9="élec"),('élts calculs lgt ind'!AL9="élec"),('Saisie maison'!C16&gt;69)),'Référence&amp;tarifs'!$A$9,'Référence&amp;tarifs'!$A$7))</f>
        <v>#N/A</v>
      </c>
      <c r="AN9" s="85" t="e">
        <f>VLOOKUP(AM9,'Référence&amp;tarifs'!$A$6:$C$10,2,0)</f>
        <v>#N/A</v>
      </c>
      <c r="AO9" s="85" t="e">
        <f>VLOOKUP(AM9,'Référence&amp;tarifs'!$A$6:$C$10,3,0)</f>
        <v>#N/A</v>
      </c>
      <c r="AW9" s="96" t="s">
        <v>198</v>
      </c>
      <c r="AX9" s="97"/>
      <c r="AY9" s="96"/>
      <c r="AZ9" s="97"/>
      <c r="BA9" s="98"/>
      <c r="BB9" s="99"/>
      <c r="BC9" s="98"/>
      <c r="BD9" s="99"/>
      <c r="BE9" s="98"/>
      <c r="BF9" s="99"/>
      <c r="BG9" s="98"/>
      <c r="BH9" s="99"/>
    </row>
    <row r="10" spans="1:60" x14ac:dyDescent="0.25">
      <c r="A10" s="85" t="s">
        <v>199</v>
      </c>
      <c r="B10" s="85">
        <v>49</v>
      </c>
      <c r="C10" s="85">
        <v>5962</v>
      </c>
      <c r="D10" s="85">
        <v>4177</v>
      </c>
      <c r="E10" s="91">
        <f t="shared" si="0"/>
        <v>6558.2000000000007</v>
      </c>
      <c r="F10" s="91">
        <f t="shared" si="1"/>
        <v>4594.7000000000007</v>
      </c>
      <c r="G10" s="91">
        <v>4232.6666666666697</v>
      </c>
      <c r="H10" s="91">
        <v>2975.6666666666702</v>
      </c>
      <c r="I10" s="91">
        <f t="shared" si="2"/>
        <v>4655.933333333337</v>
      </c>
      <c r="J10" s="92">
        <f t="shared" si="3"/>
        <v>3273.2333333333372</v>
      </c>
      <c r="K10" s="91">
        <f>500+'Saisie maison'!$C$13*6</f>
        <v>800</v>
      </c>
      <c r="L10" s="85">
        <f>1500+'Saisie maison'!$C$13*7</f>
        <v>1850</v>
      </c>
      <c r="M10" s="91">
        <f>500+'Saisie maison'!$C$14*6</f>
        <v>500</v>
      </c>
      <c r="N10" s="85">
        <f>1500+'Saisie maison'!$C$14*7</f>
        <v>1500</v>
      </c>
      <c r="O10" s="91">
        <f>500+'Saisie maison'!$C$15*6</f>
        <v>500</v>
      </c>
      <c r="P10" s="85">
        <f>1500+'Saisie maison'!$C$15*7</f>
        <v>1500</v>
      </c>
      <c r="Q10" s="91">
        <f>500+'Saisie maison'!$C$16*6</f>
        <v>500</v>
      </c>
      <c r="R10" s="85">
        <f>1500+'Saisie maison'!$C$16*7</f>
        <v>1500</v>
      </c>
      <c r="S10" s="91">
        <f>500+'Saisie maison'!$C$17*6</f>
        <v>500</v>
      </c>
      <c r="T10" s="85">
        <f>1500+'Saisie maison'!$C$17*7</f>
        <v>1500</v>
      </c>
      <c r="U10" s="93">
        <v>550</v>
      </c>
      <c r="V10" s="93">
        <f t="shared" si="4"/>
        <v>275</v>
      </c>
      <c r="W10" s="93">
        <v>0</v>
      </c>
      <c r="X10" s="93"/>
      <c r="Y10" s="93"/>
      <c r="Z10" s="93"/>
      <c r="AB10" s="293"/>
      <c r="AC10" s="293"/>
      <c r="AD10" s="85"/>
      <c r="AE10" s="85"/>
      <c r="AF10" s="85"/>
      <c r="AG10" s="85"/>
      <c r="AH10" s="85"/>
      <c r="AJ10" s="85" t="s">
        <v>194</v>
      </c>
      <c r="AK10" s="85" t="e">
        <f>VLOOKUP('Saisie maison'!D17,'élts calculs lgt ind'!$AN$35:$AU$56,8,0)</f>
        <v>#N/A</v>
      </c>
      <c r="AL10" s="85" t="e">
        <f>VLOOKUP('Saisie maison'!E17,'élts calculs lgt ind'!AX21:BJ34,13,0)</f>
        <v>#N/A</v>
      </c>
      <c r="AM10" s="85" t="e">
        <f>IF(AND(('Saisie maison'!H17+'Saisie maison'!I17)&gt;0,('élts calculs lgt ind'!AK10="élec"),('Saisie maison'!C17&lt;70)),'Référence&amp;tarifs'!$A$8,IF(AND(('Saisie maison'!H17+'Saisie maison'!I17)&gt;0,('élts calculs lgt ind'!AK10="élec"),('élts calculs lgt ind'!AL10="élec"),('Saisie maison'!C17&gt;69)),'Référence&amp;tarifs'!$A$9,'Référence&amp;tarifs'!$A$7))</f>
        <v>#N/A</v>
      </c>
      <c r="AN10" s="85" t="e">
        <f>VLOOKUP(AM10,'Référence&amp;tarifs'!$A$6:$C$10,2,0)</f>
        <v>#N/A</v>
      </c>
      <c r="AO10" s="85" t="e">
        <f>VLOOKUP(AM10,'Référence&amp;tarifs'!$A$6:$C$10,3,0)</f>
        <v>#N/A</v>
      </c>
      <c r="AW10" s="100" t="s">
        <v>200</v>
      </c>
      <c r="AX10" s="101" t="s">
        <v>201</v>
      </c>
      <c r="AY10" s="100" t="s">
        <v>202</v>
      </c>
      <c r="AZ10" s="102" t="s">
        <v>203</v>
      </c>
      <c r="BA10" s="100" t="s">
        <v>202</v>
      </c>
      <c r="BB10" s="102" t="s">
        <v>203</v>
      </c>
      <c r="BC10" s="100" t="s">
        <v>202</v>
      </c>
      <c r="BD10" s="102" t="s">
        <v>203</v>
      </c>
      <c r="BE10" s="100" t="s">
        <v>202</v>
      </c>
      <c r="BF10" s="102" t="s">
        <v>203</v>
      </c>
      <c r="BG10" s="100" t="s">
        <v>202</v>
      </c>
      <c r="BH10" s="102" t="s">
        <v>203</v>
      </c>
    </row>
    <row r="11" spans="1:60" x14ac:dyDescent="0.25">
      <c r="A11" s="85" t="s">
        <v>204</v>
      </c>
      <c r="B11" s="85">
        <v>89</v>
      </c>
      <c r="C11" s="85">
        <v>7234</v>
      </c>
      <c r="D11" s="85">
        <v>5197</v>
      </c>
      <c r="E11" s="91">
        <f t="shared" si="0"/>
        <v>7957.4000000000005</v>
      </c>
      <c r="F11" s="91">
        <f t="shared" si="1"/>
        <v>5716.7000000000007</v>
      </c>
      <c r="G11" s="91">
        <v>5258.3333333333303</v>
      </c>
      <c r="H11" s="91">
        <v>3779.3333333333298</v>
      </c>
      <c r="I11" s="91">
        <f t="shared" si="2"/>
        <v>5784.1666666666642</v>
      </c>
      <c r="J11" s="92">
        <f t="shared" si="3"/>
        <v>4157.2666666666628</v>
      </c>
      <c r="K11" s="91">
        <f>500+'Saisie maison'!$C$13*6</f>
        <v>800</v>
      </c>
      <c r="L11" s="85">
        <f>1500+'Saisie maison'!$C$13*7</f>
        <v>1850</v>
      </c>
      <c r="M11" s="91">
        <f>500+'Saisie maison'!$C$14*6</f>
        <v>500</v>
      </c>
      <c r="N11" s="85">
        <f>1500+'Saisie maison'!$C$14*7</f>
        <v>1500</v>
      </c>
      <c r="O11" s="91">
        <f>500+'Saisie maison'!$C$15*6</f>
        <v>500</v>
      </c>
      <c r="P11" s="85">
        <f>1500+'Saisie maison'!$C$15*7</f>
        <v>1500</v>
      </c>
      <c r="Q11" s="91">
        <f>500+'Saisie maison'!$C$16*6</f>
        <v>500</v>
      </c>
      <c r="R11" s="85">
        <f>1500+'Saisie maison'!$C$16*7</f>
        <v>1500</v>
      </c>
      <c r="S11" s="91">
        <f>500+'Saisie maison'!$C$17*6</f>
        <v>500</v>
      </c>
      <c r="T11" s="85">
        <f>1500+'Saisie maison'!$C$17*7</f>
        <v>1500</v>
      </c>
      <c r="U11" s="93">
        <v>550</v>
      </c>
      <c r="V11" s="93">
        <f t="shared" si="4"/>
        <v>275</v>
      </c>
      <c r="W11" s="93">
        <v>0</v>
      </c>
      <c r="X11" s="93"/>
      <c r="Y11" s="93"/>
      <c r="Z11" s="93"/>
      <c r="AB11" s="291"/>
      <c r="AC11" s="291"/>
      <c r="AD11" s="85"/>
      <c r="AE11" s="85"/>
      <c r="AF11" s="85"/>
      <c r="AG11" s="85"/>
      <c r="AH11" s="85"/>
      <c r="AJ11" s="85"/>
      <c r="AK11" s="85"/>
      <c r="AL11" s="85"/>
      <c r="AM11" s="85"/>
      <c r="AN11" s="85"/>
      <c r="AO11" s="85"/>
      <c r="AW11" s="103" t="s">
        <v>205</v>
      </c>
      <c r="AX11" s="104">
        <v>13</v>
      </c>
      <c r="AY11" s="105">
        <f>IF('Saisie maison'!$H13+'Saisie maison'!$I13&gt;0,$AX$11+2*('Saisie maison'!$H13+'Saisie maison'!$I13-1),0)</f>
        <v>17</v>
      </c>
      <c r="AZ11" s="106">
        <f>AY11*'Saisie maison'!$G$6</f>
        <v>85</v>
      </c>
      <c r="BA11" s="105">
        <f>IF('Saisie maison'!$H14+'Saisie maison'!$I14&gt;0,$AX$11+2*('Saisie maison'!$H14+'Saisie maison'!$I14-1),0)</f>
        <v>0</v>
      </c>
      <c r="BB11" s="106">
        <f>BA11*'Saisie maison'!$G$6</f>
        <v>0</v>
      </c>
      <c r="BC11" s="105">
        <f>IF('Saisie maison'!$H15+'Saisie maison'!$I15&gt;0,$AX$11+2*('Saisie maison'!$H15+'Saisie maison'!$I15-1),0)</f>
        <v>0</v>
      </c>
      <c r="BD11" s="106">
        <f>BC11*'Saisie maison'!$G$6</f>
        <v>0</v>
      </c>
      <c r="BE11" s="107">
        <f>IF('Saisie maison'!H16+'Saisie maison'!I16&gt;0,AX11+2*('Saisie maison'!H16+'Saisie maison'!I16-1),0)</f>
        <v>0</v>
      </c>
      <c r="BF11" s="108">
        <f>BE11*'Saisie maison'!$G$6</f>
        <v>0</v>
      </c>
      <c r="BG11" s="107">
        <f>IF('Saisie maison'!H17+'Saisie maison'!I17&gt;0,AX11+2*('Saisie maison'!H17+'Saisie maison'!I17-1),0)</f>
        <v>0</v>
      </c>
      <c r="BH11" s="108">
        <f>BG11*'Saisie maison'!$G$6</f>
        <v>0</v>
      </c>
    </row>
    <row r="12" spans="1:60" x14ac:dyDescent="0.25">
      <c r="A12" s="85" t="s">
        <v>206</v>
      </c>
      <c r="B12" s="85">
        <v>60</v>
      </c>
      <c r="C12" s="85">
        <v>7813</v>
      </c>
      <c r="D12" s="85">
        <v>5620</v>
      </c>
      <c r="E12" s="91">
        <f t="shared" si="0"/>
        <v>8594.3000000000011</v>
      </c>
      <c r="F12" s="91">
        <f t="shared" si="1"/>
        <v>6182.0000000000009</v>
      </c>
      <c r="G12" s="91">
        <v>5686</v>
      </c>
      <c r="H12" s="91">
        <v>4106.3333333333303</v>
      </c>
      <c r="I12" s="91">
        <f t="shared" si="2"/>
        <v>6254.6</v>
      </c>
      <c r="J12" s="92">
        <f t="shared" si="3"/>
        <v>4516.9666666666635</v>
      </c>
      <c r="K12" s="91">
        <f>500+'Saisie maison'!$C$13*6</f>
        <v>800</v>
      </c>
      <c r="L12" s="85">
        <f>1500+'Saisie maison'!$C$13*7</f>
        <v>1850</v>
      </c>
      <c r="M12" s="91">
        <f>500+'Saisie maison'!$C$14*6</f>
        <v>500</v>
      </c>
      <c r="N12" s="85">
        <f>1500+'Saisie maison'!$C$14*7</f>
        <v>1500</v>
      </c>
      <c r="O12" s="91">
        <f>500+'Saisie maison'!$C$15*6</f>
        <v>500</v>
      </c>
      <c r="P12" s="85">
        <f>1500+'Saisie maison'!$C$15*7</f>
        <v>1500</v>
      </c>
      <c r="Q12" s="91">
        <f>500+'Saisie maison'!$C$16*6</f>
        <v>500</v>
      </c>
      <c r="R12" s="85">
        <f>1500+'Saisie maison'!$C$16*7</f>
        <v>1500</v>
      </c>
      <c r="S12" s="91">
        <f>500+'Saisie maison'!$C$17*6</f>
        <v>500</v>
      </c>
      <c r="T12" s="85">
        <f>1500+'Saisie maison'!$C$17*7</f>
        <v>1500</v>
      </c>
      <c r="U12" s="93">
        <v>550</v>
      </c>
      <c r="V12" s="93">
        <f t="shared" si="4"/>
        <v>275</v>
      </c>
      <c r="W12" s="93">
        <v>0</v>
      </c>
      <c r="X12" s="93"/>
      <c r="Y12" s="93"/>
      <c r="Z12" s="93"/>
      <c r="AB12" s="85"/>
      <c r="AC12" s="85"/>
      <c r="AD12" s="85"/>
      <c r="AE12" s="85"/>
      <c r="AF12" s="85"/>
      <c r="AG12" s="85"/>
      <c r="AH12" s="85"/>
      <c r="AW12" s="109" t="s">
        <v>207</v>
      </c>
      <c r="AX12" s="110">
        <v>5</v>
      </c>
      <c r="AY12" s="105">
        <f>('Saisie maison'!$H13+'Saisie maison'!$I13)*$AX$12</f>
        <v>15</v>
      </c>
      <c r="AZ12" s="106">
        <f>AY12*'Saisie maison'!$G$6</f>
        <v>75</v>
      </c>
      <c r="BA12" s="105">
        <f>('Saisie maison'!$H14+'Saisie maison'!$I14)*$AX$12</f>
        <v>0</v>
      </c>
      <c r="BB12" s="106">
        <f>BA12*'Saisie maison'!$G$6</f>
        <v>0</v>
      </c>
      <c r="BC12" s="105">
        <f>('Saisie maison'!$H15+'Saisie maison'!$I15)*$AX$12</f>
        <v>0</v>
      </c>
      <c r="BD12" s="106">
        <f>BC12*'Saisie maison'!$G$6</f>
        <v>0</v>
      </c>
      <c r="BE12" s="107">
        <f>('Saisie maison'!H16+'Saisie maison'!I16)*AX12</f>
        <v>0</v>
      </c>
      <c r="BF12" s="108">
        <f>BE12*'Saisie maison'!$G$6</f>
        <v>0</v>
      </c>
      <c r="BG12" s="107">
        <f>('Saisie maison'!H17+'Saisie maison'!I17)*AX12</f>
        <v>0</v>
      </c>
      <c r="BH12" s="108">
        <f>BG12*'Saisie maison'!$G$6</f>
        <v>0</v>
      </c>
    </row>
    <row r="13" spans="1:60" x14ac:dyDescent="0.25">
      <c r="A13" s="85" t="s">
        <v>208</v>
      </c>
      <c r="B13" s="85">
        <v>25</v>
      </c>
      <c r="C13" s="85">
        <v>7173</v>
      </c>
      <c r="D13" s="85">
        <v>5234</v>
      </c>
      <c r="E13" s="91">
        <f t="shared" si="0"/>
        <v>7890.3000000000011</v>
      </c>
      <c r="F13" s="91">
        <f t="shared" si="1"/>
        <v>5757.4000000000005</v>
      </c>
      <c r="G13" s="91">
        <v>5293.6666666666697</v>
      </c>
      <c r="H13" s="91">
        <v>3878.3333333333298</v>
      </c>
      <c r="I13" s="91">
        <f t="shared" si="2"/>
        <v>5823.0333333333374</v>
      </c>
      <c r="J13" s="92">
        <f t="shared" si="3"/>
        <v>4266.1666666666633</v>
      </c>
      <c r="K13" s="91">
        <f>500+'Saisie maison'!$C$13*6</f>
        <v>800</v>
      </c>
      <c r="L13" s="85">
        <f>1500+'Saisie maison'!$C$13*7</f>
        <v>1850</v>
      </c>
      <c r="M13" s="91">
        <f>500+'Saisie maison'!$C$14*6</f>
        <v>500</v>
      </c>
      <c r="N13" s="85">
        <f>1500+'Saisie maison'!$C$14*7</f>
        <v>1500</v>
      </c>
      <c r="O13" s="91">
        <f>500+'Saisie maison'!$C$15*6</f>
        <v>500</v>
      </c>
      <c r="P13" s="85">
        <f>1500+'Saisie maison'!$C$15*7</f>
        <v>1500</v>
      </c>
      <c r="Q13" s="91">
        <f>500+'Saisie maison'!$C$16*6</f>
        <v>500</v>
      </c>
      <c r="R13" s="85">
        <f>1500+'Saisie maison'!$C$16*7</f>
        <v>1500</v>
      </c>
      <c r="S13" s="91">
        <f>500+'Saisie maison'!$C$17*6</f>
        <v>500</v>
      </c>
      <c r="T13" s="85">
        <f>1500+'Saisie maison'!$C$17*7</f>
        <v>1500</v>
      </c>
      <c r="U13" s="93">
        <v>550</v>
      </c>
      <c r="V13" s="93">
        <f t="shared" si="4"/>
        <v>275</v>
      </c>
      <c r="W13" s="93">
        <v>0</v>
      </c>
      <c r="X13" s="93"/>
      <c r="Y13" s="93"/>
      <c r="Z13" s="93"/>
      <c r="AB13" s="291" t="s">
        <v>209</v>
      </c>
      <c r="AC13" s="291"/>
      <c r="AD13" s="91">
        <f>AD9-IF('Saisie maison'!F13='élts calculs lgt ind'!AC37,'élts calculs lgt ind'!AD7,IF('Saisie maison'!F13='élts calculs lgt ind'!AC38,'élts calculs lgt ind'!AD8,IF('Saisie maison'!F13=AC35,-AD7,0)))</f>
        <v>2321.0866666666698</v>
      </c>
      <c r="AE13" s="91">
        <f>AE9-IF('Saisie maison'!F14='élts calculs lgt ind'!AC37,'élts calculs lgt ind'!AE7,IF('Saisie maison'!F14='élts calculs lgt ind'!AC38,'élts calculs lgt ind'!AE8,IF('Saisie maison'!F14=AC35,-AE7,0)))</f>
        <v>1821.08666666667</v>
      </c>
      <c r="AF13" s="91">
        <f>AF9-IF('Saisie maison'!F15='élts calculs lgt ind'!AC37,'élts calculs lgt ind'!AF7,IF('Saisie maison'!F15='élts calculs lgt ind'!AC38,'élts calculs lgt ind'!AF8,IF('Saisie maison'!F15=AC35,-AF7,0)))</f>
        <v>1821.08666666667</v>
      </c>
      <c r="AG13" s="91">
        <f>AG9-IF('Saisie maison'!F16='élts calculs lgt ind'!AC37,'élts calculs lgt ind'!AG7,IF('Saisie maison'!F16='élts calculs lgt ind'!AC38,'élts calculs lgt ind'!AG8,IF('Saisie maison'!F16=AC35,-AG7,0)))</f>
        <v>1821.08666666667</v>
      </c>
      <c r="AH13" s="91">
        <f>AH9-IF('Saisie maison'!F17='élts calculs lgt ind'!AC37,'élts calculs lgt ind'!AH7,IF('Saisie maison'!F17='élts calculs lgt ind'!AC38,'élts calculs lgt ind'!AH8,IF('Saisie maison'!F17=AC35,-AH7,0)))</f>
        <v>1821.08666666667</v>
      </c>
      <c r="AM13" s="291" t="s">
        <v>210</v>
      </c>
      <c r="AN13" s="291"/>
      <c r="AO13" s="291"/>
      <c r="AW13" s="109" t="s">
        <v>211</v>
      </c>
      <c r="AX13" s="110">
        <v>7</v>
      </c>
      <c r="AY13" s="105">
        <f>IF('Saisie maison'!$H13+'Saisie maison'!$I13&gt;0,$AX$13+('Saisie maison'!$H13+'Saisie maison'!$I13-1)*3,0)</f>
        <v>13</v>
      </c>
      <c r="AZ13" s="106">
        <f>AY13*'Saisie maison'!$G$6</f>
        <v>65</v>
      </c>
      <c r="BA13" s="105">
        <f>IF('Saisie maison'!$H14+'Saisie maison'!$I14&gt;0,$AX$13+('Saisie maison'!$H14+'Saisie maison'!$I14-1)*3,0)</f>
        <v>0</v>
      </c>
      <c r="BB13" s="106">
        <f>BA13*'Saisie maison'!$G$6</f>
        <v>0</v>
      </c>
      <c r="BC13" s="105">
        <f>IF('Saisie maison'!$H15+'Saisie maison'!$I15&gt;0,$AX$13+('Saisie maison'!$H15+'Saisie maison'!$I15-1)*3,0)</f>
        <v>0</v>
      </c>
      <c r="BD13" s="106">
        <f>BC13*'Saisie maison'!$G$6</f>
        <v>0</v>
      </c>
      <c r="BE13" s="107">
        <f>IF('Saisie maison'!H16+'Saisie maison'!I16&gt;0,AX13+('Saisie maison'!H16+'Saisie maison'!I16-1)*3,0)</f>
        <v>0</v>
      </c>
      <c r="BF13" s="108">
        <f>BE13*'Saisie maison'!$G$6</f>
        <v>0</v>
      </c>
      <c r="BG13" s="107">
        <f>IF('Saisie maison'!H17+'Saisie maison'!I17&gt;0,AX13+('Saisie maison'!H17+'Saisie maison'!I17-1)*3,0)</f>
        <v>0</v>
      </c>
      <c r="BH13" s="108">
        <f>BG13*'Saisie maison'!$G$6</f>
        <v>0</v>
      </c>
    </row>
    <row r="14" spans="1:60" x14ac:dyDescent="0.25">
      <c r="A14" s="85" t="s">
        <v>212</v>
      </c>
      <c r="B14" s="85">
        <v>64</v>
      </c>
      <c r="C14" s="85">
        <v>3372</v>
      </c>
      <c r="D14" s="85">
        <v>2217</v>
      </c>
      <c r="E14" s="91">
        <f t="shared" si="0"/>
        <v>3709.2000000000003</v>
      </c>
      <c r="F14" s="91">
        <f t="shared" si="1"/>
        <v>2438.7000000000003</v>
      </c>
      <c r="G14" s="91">
        <v>2254.3333333333298</v>
      </c>
      <c r="H14" s="91">
        <v>1397.6666666666699</v>
      </c>
      <c r="I14" s="91">
        <f t="shared" si="2"/>
        <v>2479.7666666666632</v>
      </c>
      <c r="J14" s="92">
        <f t="shared" si="3"/>
        <v>1537.433333333337</v>
      </c>
      <c r="K14" s="91">
        <f>250+'Saisie maison'!$C$13*5</f>
        <v>500</v>
      </c>
      <c r="L14" s="85">
        <f>700+'Saisie maison'!$C$13*7</f>
        <v>1050</v>
      </c>
      <c r="M14" s="91">
        <f>250+'Saisie maison'!$C$14*5</f>
        <v>250</v>
      </c>
      <c r="N14" s="85">
        <f>700+'Saisie maison'!$C$14*7</f>
        <v>700</v>
      </c>
      <c r="O14" s="91">
        <f>250+'Saisie maison'!$C$15*5</f>
        <v>250</v>
      </c>
      <c r="P14" s="85">
        <f>700+'Saisie maison'!$C$15*7</f>
        <v>700</v>
      </c>
      <c r="Q14" s="91">
        <f>250+'Saisie maison'!$C$16*5</f>
        <v>250</v>
      </c>
      <c r="R14" s="85">
        <f>700+'Saisie maison'!$C$16*7</f>
        <v>700</v>
      </c>
      <c r="S14" s="91">
        <f>250+'Saisie maison'!$C$17*5</f>
        <v>250</v>
      </c>
      <c r="T14" s="85">
        <f>700+'Saisie maison'!$C$17*7</f>
        <v>700</v>
      </c>
      <c r="U14" s="93">
        <v>400</v>
      </c>
      <c r="V14" s="93">
        <f t="shared" si="4"/>
        <v>200</v>
      </c>
      <c r="W14" s="93">
        <v>0</v>
      </c>
      <c r="X14" s="93"/>
      <c r="Y14" s="93"/>
      <c r="Z14" s="93"/>
      <c r="AB14" s="291" t="s">
        <v>213</v>
      </c>
      <c r="AC14" s="291"/>
      <c r="AD14" s="85"/>
      <c r="AE14" s="85"/>
      <c r="AF14" s="85"/>
      <c r="AG14" s="85"/>
      <c r="AH14" s="85"/>
      <c r="AM14" s="111" t="s">
        <v>214</v>
      </c>
      <c r="AN14" s="112" t="s">
        <v>180</v>
      </c>
      <c r="AO14" s="112" t="s">
        <v>215</v>
      </c>
      <c r="AW14" s="109" t="s">
        <v>216</v>
      </c>
      <c r="AX14" s="110">
        <v>7</v>
      </c>
      <c r="AY14" s="105">
        <f>IF('Saisie maison'!$H13+'Saisie maison'!$I13&gt;0,$AX$14+('Saisie maison'!$H13+'Saisie maison'!$I13-1)*2,0)</f>
        <v>11</v>
      </c>
      <c r="AZ14" s="106">
        <f>AY14*'Saisie maison'!$G$6</f>
        <v>55</v>
      </c>
      <c r="BA14" s="105">
        <f>IF('Saisie maison'!$H14+'Saisie maison'!$I14&gt;0,$AX$14+('Saisie maison'!$H14+'Saisie maison'!$I14-1)*2,0)</f>
        <v>0</v>
      </c>
      <c r="BB14" s="106">
        <f>BA14*'Saisie maison'!$G$6</f>
        <v>0</v>
      </c>
      <c r="BC14" s="105">
        <f>IF('Saisie maison'!$H15+'Saisie maison'!$I15&gt;0,$AX$14+('Saisie maison'!$H15+'Saisie maison'!$I15-1)*2,0)</f>
        <v>0</v>
      </c>
      <c r="BD14" s="106">
        <f>BC14*'Saisie maison'!$G$6</f>
        <v>0</v>
      </c>
      <c r="BE14" s="107">
        <f>IF('Saisie maison'!H16+'Saisie maison'!I16&gt;0,AX14+('Saisie maison'!H16+'Saisie maison'!I16-1)*2,0)</f>
        <v>0</v>
      </c>
      <c r="BF14" s="108">
        <f>BE14*'Saisie maison'!$G$6</f>
        <v>0</v>
      </c>
      <c r="BG14" s="107">
        <f>IF('Saisie maison'!H17+'Saisie maison'!I17&gt;0,AX14+('Saisie maison'!H17+'Saisie maison'!I17-1)*2,0)</f>
        <v>0</v>
      </c>
      <c r="BH14" s="108">
        <f>BG14*'Saisie maison'!$G$6</f>
        <v>0</v>
      </c>
    </row>
    <row r="15" spans="1:60" x14ac:dyDescent="0.25">
      <c r="A15" s="85" t="s">
        <v>217</v>
      </c>
      <c r="B15" s="85">
        <v>33</v>
      </c>
      <c r="C15" s="85">
        <v>5574</v>
      </c>
      <c r="D15" s="85">
        <v>3787</v>
      </c>
      <c r="E15" s="91">
        <f t="shared" si="0"/>
        <v>6131.4000000000005</v>
      </c>
      <c r="F15" s="91">
        <f t="shared" si="1"/>
        <v>4165.7000000000007</v>
      </c>
      <c r="G15" s="91">
        <v>3837.6666666666702</v>
      </c>
      <c r="H15" s="91">
        <v>1431</v>
      </c>
      <c r="I15" s="91">
        <f t="shared" si="2"/>
        <v>4221.4333333333379</v>
      </c>
      <c r="J15" s="92">
        <f t="shared" si="3"/>
        <v>1574.1000000000001</v>
      </c>
      <c r="K15" s="91">
        <f>250+'Saisie maison'!$C$13*5</f>
        <v>500</v>
      </c>
      <c r="L15" s="85">
        <f>700+'Saisie maison'!$C$13*7</f>
        <v>1050</v>
      </c>
      <c r="M15" s="91">
        <f>250+'Saisie maison'!$C$14*5</f>
        <v>250</v>
      </c>
      <c r="N15" s="85">
        <f>700+'Saisie maison'!$C$14*7</f>
        <v>700</v>
      </c>
      <c r="O15" s="91">
        <f>250+'Saisie maison'!$C$15*5</f>
        <v>250</v>
      </c>
      <c r="P15" s="85">
        <f>700+'Saisie maison'!$C$15*7</f>
        <v>700</v>
      </c>
      <c r="Q15" s="91">
        <f>250+'Saisie maison'!$C$16*5</f>
        <v>250</v>
      </c>
      <c r="R15" s="85">
        <f>700+'Saisie maison'!$C$16*7</f>
        <v>700</v>
      </c>
      <c r="S15" s="91">
        <f>250+'Saisie maison'!$C$17*5</f>
        <v>250</v>
      </c>
      <c r="T15" s="85">
        <f>700+'Saisie maison'!$C$17*7</f>
        <v>700</v>
      </c>
      <c r="U15" s="93">
        <v>400</v>
      </c>
      <c r="V15" s="93">
        <f t="shared" si="4"/>
        <v>200</v>
      </c>
      <c r="W15" s="93">
        <v>0</v>
      </c>
      <c r="X15" s="93"/>
      <c r="Y15" s="93"/>
      <c r="Z15" s="93"/>
      <c r="AB15" s="293" t="s">
        <v>218</v>
      </c>
      <c r="AC15" s="293"/>
      <c r="AD15" s="85">
        <f>IF('Saisie maison'!$C13&gt;83,('Saisie maison'!$C13-83)*70,('Saisie maison'!$C13-83)*50)</f>
        <v>-1650</v>
      </c>
      <c r="AE15" s="85">
        <f>IF('Saisie maison'!$C14&gt;83,('Saisie maison'!$C14-83)*70,('Saisie maison'!$C14-83)*50)</f>
        <v>-4150</v>
      </c>
      <c r="AF15" s="85">
        <f>IF('Saisie maison'!$C15&gt;83,('Saisie maison'!$C15-83)*70,('Saisie maison'!$C15-83)*50)</f>
        <v>-4150</v>
      </c>
      <c r="AG15" s="85">
        <f>IF('Saisie maison'!$C16&gt;83,('Saisie maison'!$C16-83)*70,('Saisie maison'!$C16-83)*50)</f>
        <v>-4150</v>
      </c>
      <c r="AH15" s="85">
        <f>IF('Saisie maison'!$C17&gt;83,('Saisie maison'!$C17-83)*70,('Saisie maison'!$C17-83)*50)</f>
        <v>-4150</v>
      </c>
      <c r="AK15" s="113">
        <f>IF(AK6="gaz",AD18,0)+IF(AL6="gaz",AY35/'élts calculs lgt ind'!BI30,0)+IF('Saisie maison'!G13="gaz de ville",'élts calculs lgt ind'!AN29,0)</f>
        <v>0</v>
      </c>
      <c r="AL15" s="85" t="s">
        <v>185</v>
      </c>
      <c r="AM15" s="85" t="str">
        <f>IF(AK15&lt;1000,'Référence&amp;tarifs'!$A$16,IF(AK15&gt;6000,'Référence&amp;tarifs'!$A$18,'Référence&amp;tarifs'!$A$17))</f>
        <v>base</v>
      </c>
      <c r="AN15" s="85">
        <f>VLOOKUP(AM15,'Référence&amp;tarifs'!$A$16:$C$18,2,0)</f>
        <v>108</v>
      </c>
      <c r="AO15" s="85">
        <f>VLOOKUP(AM15,'Référence&amp;tarifs'!$A$16:$C$18,3,0)</f>
        <v>7.8899999999999998E-2</v>
      </c>
      <c r="AW15" s="109" t="s">
        <v>219</v>
      </c>
      <c r="AX15" s="110">
        <v>7</v>
      </c>
      <c r="AY15" s="105">
        <f>$AX$15*('Saisie maison'!$H13+'Saisie maison'!$I13)</f>
        <v>21</v>
      </c>
      <c r="AZ15" s="106">
        <f>AY15*'Saisie maison'!$G$6</f>
        <v>105</v>
      </c>
      <c r="BA15" s="105">
        <f>$AX$15*('Saisie maison'!$H14+'Saisie maison'!$I14)</f>
        <v>0</v>
      </c>
      <c r="BB15" s="106">
        <f>BA15*'Saisie maison'!$G$6</f>
        <v>0</v>
      </c>
      <c r="BC15" s="105">
        <f>$AX$15*('Saisie maison'!$H15+'Saisie maison'!$I15)</f>
        <v>0</v>
      </c>
      <c r="BD15" s="106">
        <f>BC15*'Saisie maison'!$G$6</f>
        <v>0</v>
      </c>
      <c r="BE15" s="107">
        <f>AX15*('Saisie maison'!H16+'Saisie maison'!I16)</f>
        <v>0</v>
      </c>
      <c r="BF15" s="108">
        <f>BE15*'Saisie maison'!$G$6</f>
        <v>0</v>
      </c>
      <c r="BG15" s="107">
        <f>AX15*('Saisie maison'!H17+'Saisie maison'!I17)</f>
        <v>0</v>
      </c>
      <c r="BH15" s="108">
        <f>BG15*'Saisie maison'!$G$6</f>
        <v>0</v>
      </c>
    </row>
    <row r="16" spans="1:60" x14ac:dyDescent="0.25">
      <c r="A16" s="85" t="s">
        <v>220</v>
      </c>
      <c r="B16" s="85">
        <v>18</v>
      </c>
      <c r="C16" s="85">
        <v>6849</v>
      </c>
      <c r="D16" s="85">
        <v>4996</v>
      </c>
      <c r="E16" s="91">
        <f t="shared" si="0"/>
        <v>7533.9000000000005</v>
      </c>
      <c r="F16" s="91">
        <f t="shared" si="1"/>
        <v>5495.6</v>
      </c>
      <c r="G16" s="91">
        <v>4945.6666666666697</v>
      </c>
      <c r="H16" s="91">
        <v>3522.6666666666702</v>
      </c>
      <c r="I16" s="91">
        <f t="shared" si="2"/>
        <v>5440.2333333333372</v>
      </c>
      <c r="J16" s="92">
        <f t="shared" si="3"/>
        <v>3874.9333333333375</v>
      </c>
      <c r="K16" s="91">
        <f>500+'Saisie maison'!$C$13*6</f>
        <v>800</v>
      </c>
      <c r="L16" s="85">
        <f>1500+'Saisie maison'!$C$13*7</f>
        <v>1850</v>
      </c>
      <c r="M16" s="91">
        <f>500+'Saisie maison'!$C$14*6</f>
        <v>500</v>
      </c>
      <c r="N16" s="85">
        <f>1500+'Saisie maison'!$C$14*7</f>
        <v>1500</v>
      </c>
      <c r="O16" s="91">
        <f>500+'Saisie maison'!$C$15*6</f>
        <v>500</v>
      </c>
      <c r="P16" s="85">
        <f>1500+'Saisie maison'!$C$15*7</f>
        <v>1500</v>
      </c>
      <c r="Q16" s="91">
        <f>500+'Saisie maison'!$C$16*6</f>
        <v>500</v>
      </c>
      <c r="R16" s="85">
        <f>1500+'Saisie maison'!$C$16*7</f>
        <v>1500</v>
      </c>
      <c r="S16" s="91">
        <f>500+'Saisie maison'!$C$17*6</f>
        <v>500</v>
      </c>
      <c r="T16" s="85">
        <f>1500+'Saisie maison'!$C$17*7</f>
        <v>1500</v>
      </c>
      <c r="U16" s="93">
        <v>550</v>
      </c>
      <c r="V16" s="93">
        <f t="shared" si="4"/>
        <v>275</v>
      </c>
      <c r="W16" s="93">
        <v>0</v>
      </c>
      <c r="X16" s="93"/>
      <c r="Y16" s="93"/>
      <c r="Z16" s="93"/>
      <c r="AB16" s="291" t="s">
        <v>221</v>
      </c>
      <c r="AC16" s="291"/>
      <c r="AD16" s="91">
        <f>VLOOKUP('Saisie maison'!C3,'élts calculs lgt ind'!A6:W67,'élts calculs lgt ind'!AD2,0)*(1-((83-'Saisie maison'!C13)/100))</f>
        <v>167.49999999999997</v>
      </c>
      <c r="AE16" s="91">
        <f>VLOOKUP('Saisie maison'!C3,'élts calculs lgt ind'!A6:W67,'élts calculs lgt ind'!AD2,0)*(1-((83-'Saisie maison'!C14)/100))</f>
        <v>42.500000000000007</v>
      </c>
      <c r="AF16" s="91">
        <f>VLOOKUP('Saisie maison'!C3,'élts calculs lgt ind'!A6:W67,'élts calculs lgt ind'!AD2,0)*(1-((83-'Saisie maison'!C15)/100))</f>
        <v>42.500000000000007</v>
      </c>
      <c r="AG16" s="85">
        <f>VLOOKUP('Saisie maison'!C3,'élts calculs lgt ind'!A6:W67,'élts calculs lgt ind'!AD2,0)*(1-((83-'Saisie maison'!C16)/100))</f>
        <v>42.500000000000007</v>
      </c>
      <c r="AH16" s="85">
        <f>VLOOKUP('Saisie maison'!C3,'élts calculs lgt ind'!A6:W67,'élts calculs lgt ind'!AD2,0)*(1-((83-'Saisie maison'!C17)/100))</f>
        <v>42.500000000000007</v>
      </c>
      <c r="AK16" s="113" t="e">
        <f>IF(AK7="gaz",AE18,0)+IF(AL7="gaz",AY35/'élts calculs lgt ind'!BI30,0)+IF('Saisie maison'!G14="gaz de ville",'élts calculs lgt ind'!AN30,0)</f>
        <v>#N/A</v>
      </c>
      <c r="AL16" s="85" t="s">
        <v>188</v>
      </c>
      <c r="AM16" s="85" t="e">
        <f>IF(AK16&lt;1000,'Référence&amp;tarifs'!$A$16,IF(AK16&gt;6000,'Référence&amp;tarifs'!$A$18,'Référence&amp;tarifs'!$A$17))</f>
        <v>#N/A</v>
      </c>
      <c r="AN16" s="85" t="e">
        <f>VLOOKUP(AM16,'Référence&amp;tarifs'!$A$16:$C$18,2,0)</f>
        <v>#N/A</v>
      </c>
      <c r="AO16" s="85" t="e">
        <f>VLOOKUP(AM16,'Référence&amp;tarifs'!$A$16:$C$18,3,0)</f>
        <v>#N/A</v>
      </c>
      <c r="AW16" s="114" t="s">
        <v>222</v>
      </c>
      <c r="AX16" s="115">
        <f>SUM(AX11:AX15)</f>
        <v>39</v>
      </c>
      <c r="AY16" s="114">
        <f>SUM(AY11:AY15)</f>
        <v>77</v>
      </c>
      <c r="AZ16" s="116">
        <f>SUM(AZ11:AZ15)</f>
        <v>385</v>
      </c>
      <c r="BA16" s="114">
        <f>SUM(BA11:BA15)</f>
        <v>0</v>
      </c>
      <c r="BB16" s="117">
        <f>BA16*'Saisie maison'!$G$6</f>
        <v>0</v>
      </c>
      <c r="BC16" s="114">
        <f>SUM(BC11:BC15)</f>
        <v>0</v>
      </c>
      <c r="BD16" s="117">
        <f>BC16*'Saisie maison'!$G$6</f>
        <v>0</v>
      </c>
      <c r="BE16" s="118">
        <f>SUM(BE11:BE15)</f>
        <v>0</v>
      </c>
      <c r="BF16" s="119">
        <f>BE16*'Saisie maison'!$G$6</f>
        <v>0</v>
      </c>
      <c r="BG16" s="118">
        <f>SUM(BG11:BG15)</f>
        <v>0</v>
      </c>
      <c r="BH16" s="120">
        <f>SUM(BH11:BH15)</f>
        <v>0</v>
      </c>
    </row>
    <row r="17" spans="1:62" x14ac:dyDescent="0.25">
      <c r="A17" s="85" t="s">
        <v>223</v>
      </c>
      <c r="B17" s="85">
        <v>29</v>
      </c>
      <c r="C17" s="85">
        <v>5708</v>
      </c>
      <c r="D17" s="85">
        <v>3928</v>
      </c>
      <c r="E17" s="91">
        <f t="shared" si="0"/>
        <v>6278.8</v>
      </c>
      <c r="F17" s="91">
        <f t="shared" si="1"/>
        <v>4320.8</v>
      </c>
      <c r="G17" s="91">
        <v>3982.6666666666702</v>
      </c>
      <c r="H17" s="91">
        <v>2938.6666666666702</v>
      </c>
      <c r="I17" s="91">
        <f t="shared" si="2"/>
        <v>4380.9333333333379</v>
      </c>
      <c r="J17" s="92">
        <f t="shared" si="3"/>
        <v>3232.5333333333374</v>
      </c>
      <c r="K17" s="91">
        <f>500+'Saisie maison'!$C$13*6</f>
        <v>800</v>
      </c>
      <c r="L17" s="85">
        <f>1500+'Saisie maison'!$C$13*7</f>
        <v>1850</v>
      </c>
      <c r="M17" s="91">
        <f>500+'Saisie maison'!$C$14*6</f>
        <v>500</v>
      </c>
      <c r="N17" s="85">
        <f>1500+'Saisie maison'!$C$14*7</f>
        <v>1500</v>
      </c>
      <c r="O17" s="91">
        <f>500+'Saisie maison'!$C$15*6</f>
        <v>500</v>
      </c>
      <c r="P17" s="85">
        <f>1500+'Saisie maison'!$C$15*7</f>
        <v>1500</v>
      </c>
      <c r="Q17" s="91">
        <f>500+'Saisie maison'!$C$16*6</f>
        <v>500</v>
      </c>
      <c r="R17" s="85">
        <f>1500+'Saisie maison'!$C$16*7</f>
        <v>1500</v>
      </c>
      <c r="S17" s="91">
        <f>500+'Saisie maison'!$C$17*6</f>
        <v>500</v>
      </c>
      <c r="T17" s="85">
        <f>1500+'Saisie maison'!$C$17*7</f>
        <v>1500</v>
      </c>
      <c r="U17" s="93">
        <v>550</v>
      </c>
      <c r="V17" s="93">
        <f t="shared" si="4"/>
        <v>275</v>
      </c>
      <c r="W17" s="93">
        <v>0</v>
      </c>
      <c r="X17" s="93"/>
      <c r="Y17" s="93"/>
      <c r="Z17" s="93"/>
      <c r="AB17" s="294" t="s">
        <v>224</v>
      </c>
      <c r="AC17" s="294"/>
      <c r="AD17" s="91">
        <f>AD13+AD15+AD16</f>
        <v>838.58666666666977</v>
      </c>
      <c r="AE17" s="91">
        <f>AE13+AE15+AE16</f>
        <v>-2286.4133333333302</v>
      </c>
      <c r="AF17" s="91">
        <f>AF13+AF15+AF16</f>
        <v>-2286.4133333333302</v>
      </c>
      <c r="AG17" s="91">
        <f>AG13+AG15+AG16</f>
        <v>-2286.4133333333302</v>
      </c>
      <c r="AH17" s="91">
        <f>AH13+AH15+AH16</f>
        <v>-2286.4133333333302</v>
      </c>
      <c r="AK17" s="113" t="e">
        <f>IF(AK8="gaz",AF18,0)+IF(AL8="gaz",AY35/'élts calculs lgt ind'!BI30,0)+IF('Saisie maison'!G15="gaz de ville",'élts calculs lgt ind'!AN31,0)</f>
        <v>#N/A</v>
      </c>
      <c r="AL17" s="85" t="s">
        <v>192</v>
      </c>
      <c r="AM17" s="85" t="e">
        <f>IF(AK17&lt;1000,'Référence&amp;tarifs'!$A$16,IF(AK17&gt;6000,'Référence&amp;tarifs'!$A$18,'Référence&amp;tarifs'!$A$17))</f>
        <v>#N/A</v>
      </c>
      <c r="AN17" s="85" t="e">
        <f>VLOOKUP(AM17,'Référence&amp;tarifs'!$A$16:$C$18,2,0)</f>
        <v>#N/A</v>
      </c>
      <c r="AO17" s="85" t="e">
        <f>VLOOKUP(AM17,'Référence&amp;tarifs'!$A$16:$C$18,3,0)</f>
        <v>#N/A</v>
      </c>
    </row>
    <row r="18" spans="1:62" x14ac:dyDescent="0.25">
      <c r="A18" s="85" t="s">
        <v>225</v>
      </c>
      <c r="B18" s="85">
        <v>14</v>
      </c>
      <c r="C18" s="85">
        <v>6663</v>
      </c>
      <c r="D18" s="85">
        <v>4698</v>
      </c>
      <c r="E18" s="91">
        <f t="shared" si="0"/>
        <v>7329.3</v>
      </c>
      <c r="F18" s="91">
        <f t="shared" si="1"/>
        <v>5167.8</v>
      </c>
      <c r="G18" s="91">
        <v>4759.3333333333303</v>
      </c>
      <c r="H18" s="91">
        <v>3353.6666666666702</v>
      </c>
      <c r="I18" s="91">
        <f t="shared" si="2"/>
        <v>5235.2666666666637</v>
      </c>
      <c r="J18" s="92">
        <f t="shared" si="3"/>
        <v>3689.0333333333374</v>
      </c>
      <c r="K18" s="91">
        <f>600+'Saisie maison'!$C$13*7</f>
        <v>950</v>
      </c>
      <c r="L18" s="91">
        <f>1800+'Saisie maison'!$C$13*7</f>
        <v>2150</v>
      </c>
      <c r="M18" s="91">
        <f>600+'Saisie maison'!$C$14*7</f>
        <v>600</v>
      </c>
      <c r="N18" s="91">
        <f>1800+'Saisie maison'!$C$14*7</f>
        <v>1800</v>
      </c>
      <c r="O18" s="91">
        <f>600+'Saisie maison'!$C$15*7</f>
        <v>600</v>
      </c>
      <c r="P18" s="91">
        <f>1800+'Saisie maison'!$C$15*7</f>
        <v>1800</v>
      </c>
      <c r="Q18" s="91">
        <f>600+'Saisie maison'!$C$16*7</f>
        <v>600</v>
      </c>
      <c r="R18" s="91">
        <f>1800+'Saisie maison'!$C$16*7</f>
        <v>1800</v>
      </c>
      <c r="S18" s="91">
        <f>600+'Saisie maison'!$C$17*7</f>
        <v>600</v>
      </c>
      <c r="T18" s="91">
        <f>1800+'Saisie maison'!$C$17*7</f>
        <v>1800</v>
      </c>
      <c r="U18" s="93">
        <v>700</v>
      </c>
      <c r="V18" s="93">
        <f t="shared" si="4"/>
        <v>350</v>
      </c>
      <c r="W18" s="93">
        <v>0</v>
      </c>
      <c r="X18" s="93"/>
      <c r="Y18" s="93"/>
      <c r="Z18" s="93"/>
      <c r="AB18" s="291" t="s">
        <v>226</v>
      </c>
      <c r="AC18" s="291"/>
      <c r="AD18" s="91">
        <f>AD17/VLOOKUP('Saisie maison'!D13,'élts calculs lgt ind'!$AN$35:$AU$56,2,0)</f>
        <v>911.50724637681492</v>
      </c>
      <c r="AE18" s="91" t="e">
        <f>AE17/VLOOKUP('Saisie maison'!D14,'élts calculs lgt ind'!$AN$35:$AU$56,2,0)</f>
        <v>#N/A</v>
      </c>
      <c r="AF18" s="91" t="e">
        <f>AF17/VLOOKUP('Saisie maison'!D15,'élts calculs lgt ind'!$AN$35:$AU$56,2,0)</f>
        <v>#N/A</v>
      </c>
      <c r="AG18" s="91" t="e">
        <f>AG17/VLOOKUP('Saisie maison'!D16,'élts calculs lgt ind'!$AN$35:$AU$56,2,0)</f>
        <v>#N/A</v>
      </c>
      <c r="AH18" s="91" t="e">
        <f>AH17/VLOOKUP('Saisie maison'!D17,'élts calculs lgt ind'!$AN$35:$AU$56,2,0)</f>
        <v>#N/A</v>
      </c>
      <c r="AK18" s="21" t="e">
        <f>IF(AK9="gaz",AG18,0)+IF(AL9="gaz",AY35/'élts calculs lgt ind'!BI30,0)+IF('Saisie maison'!G16="gaz de ville",AN32,0)</f>
        <v>#N/A</v>
      </c>
      <c r="AL18" s="85" t="s">
        <v>193</v>
      </c>
      <c r="AM18" s="85" t="e">
        <f>IF(AK18&lt;1000,'Référence&amp;tarifs'!$A$16,IF(AK18&gt;6000,'Référence&amp;tarifs'!$A$18,'Référence&amp;tarifs'!$A$17))</f>
        <v>#N/A</v>
      </c>
      <c r="AN18" s="85" t="e">
        <f>VLOOKUP(AM18,'Référence&amp;tarifs'!$A$16:$C$18,2,0)</f>
        <v>#N/A</v>
      </c>
      <c r="AO18" s="85" t="e">
        <f>VLOOKUP(AM18,'Référence&amp;tarifs'!$A$16:$C$18,3,0)</f>
        <v>#N/A</v>
      </c>
    </row>
    <row r="19" spans="1:62" x14ac:dyDescent="0.25">
      <c r="A19" s="85" t="s">
        <v>227</v>
      </c>
      <c r="B19" s="85">
        <v>28</v>
      </c>
      <c r="C19" s="85">
        <v>7424</v>
      </c>
      <c r="D19" s="85">
        <v>5322</v>
      </c>
      <c r="E19" s="91">
        <f t="shared" si="0"/>
        <v>8166.4000000000005</v>
      </c>
      <c r="F19" s="91">
        <f t="shared" si="1"/>
        <v>5854.2000000000007</v>
      </c>
      <c r="G19" s="91">
        <v>5385.6666666666697</v>
      </c>
      <c r="H19" s="91">
        <v>3862.3333333333298</v>
      </c>
      <c r="I19" s="91">
        <f t="shared" si="2"/>
        <v>5924.2333333333372</v>
      </c>
      <c r="J19" s="92">
        <f t="shared" si="3"/>
        <v>4248.566666666663</v>
      </c>
      <c r="K19" s="91">
        <f>500+'Saisie maison'!$C$13*6</f>
        <v>800</v>
      </c>
      <c r="L19" s="85">
        <f>1500+'Saisie maison'!$C$13*7</f>
        <v>1850</v>
      </c>
      <c r="M19" s="91">
        <f>500+'Saisie maison'!$C$14*6</f>
        <v>500</v>
      </c>
      <c r="N19" s="85">
        <f>1500+'Saisie maison'!$C$14*7</f>
        <v>1500</v>
      </c>
      <c r="O19" s="91">
        <f>500+'Saisie maison'!$C$15*6</f>
        <v>500</v>
      </c>
      <c r="P19" s="85">
        <f>1500+'Saisie maison'!$C$15*7</f>
        <v>1500</v>
      </c>
      <c r="Q19" s="91">
        <f>500+'Saisie maison'!$C$16*6</f>
        <v>500</v>
      </c>
      <c r="R19" s="85">
        <f>1500+'Saisie maison'!$C$16*7</f>
        <v>1500</v>
      </c>
      <c r="S19" s="91">
        <f>500+'Saisie maison'!$C$17*6</f>
        <v>500</v>
      </c>
      <c r="T19" s="85">
        <f>1500+'Saisie maison'!$C$17*7</f>
        <v>1500</v>
      </c>
      <c r="U19" s="93">
        <v>550</v>
      </c>
      <c r="V19" s="93">
        <f t="shared" si="4"/>
        <v>275</v>
      </c>
      <c r="W19" s="93">
        <v>0</v>
      </c>
      <c r="X19" s="93"/>
      <c r="Y19" s="93"/>
      <c r="Z19" s="93"/>
      <c r="AB19" s="291" t="s">
        <v>228</v>
      </c>
      <c r="AC19" s="291"/>
      <c r="AD19" s="121">
        <f>AD18*VLOOKUP('Saisie maison'!D13,'élts calculs lgt ind'!$AN$37:$AT$56,3,0)+IF(AK6="gaz",AN15,0)</f>
        <v>141.9216782608701</v>
      </c>
      <c r="AE19" s="121" t="e">
        <f>AE18*VLOOKUP('Saisie maison'!D14,'élts calculs lgt ind'!$AN$37:$AT$56,3,0)+IF(AK7="gaz",AN15,0)</f>
        <v>#N/A</v>
      </c>
      <c r="AF19" s="121" t="e">
        <f>AF18*VLOOKUP('Saisie maison'!D15,'élts calculs lgt ind'!$AN$37:$AT$56,3,0)+IF(AK8="gaz",AN15,0)</f>
        <v>#N/A</v>
      </c>
      <c r="AG19" s="122" t="e">
        <f>AG18*VLOOKUP('Saisie maison'!D16,'élts calculs lgt ind'!$AN$37:$AT$56,4,0)+IF(AK9="gaz",AN18,0)</f>
        <v>#N/A</v>
      </c>
      <c r="AH19" s="122" t="e">
        <f>AH18*VLOOKUP('Saisie maison'!D17,'élts calculs lgt ind'!$AN$37:$AT$56,5,0)+IF(AK10="gaz",AN19,0)</f>
        <v>#N/A</v>
      </c>
      <c r="AK19" s="21" t="e">
        <f>IF(AK10="gaz",AH18,0)+IF(AL10="gaz",AY35/'élts calculs lgt ind'!BI30,0)+IF('Saisie maison'!G17="gaz de ville",AN33,0)</f>
        <v>#N/A</v>
      </c>
      <c r="AL19" s="85" t="s">
        <v>194</v>
      </c>
      <c r="AM19" s="85" t="e">
        <f>IF(AK19&lt;1000,'Référence&amp;tarifs'!$A$16,IF(AK19&gt;6000,'Référence&amp;tarifs'!$A$18,'Référence&amp;tarifs'!$A$17))</f>
        <v>#N/A</v>
      </c>
      <c r="AN19" s="85" t="e">
        <f>VLOOKUP(AM19,'Référence&amp;tarifs'!$A$16:$C$18,2,0)</f>
        <v>#N/A</v>
      </c>
      <c r="AO19" s="85" t="e">
        <f>VLOOKUP(AM19,'Référence&amp;tarifs'!$A$16:$C$18,3,0)</f>
        <v>#N/A</v>
      </c>
      <c r="AY19" s="291" t="s">
        <v>185</v>
      </c>
      <c r="AZ19" s="291"/>
      <c r="BA19" s="291" t="s">
        <v>188</v>
      </c>
      <c r="BB19" s="291"/>
      <c r="BC19" s="291" t="s">
        <v>192</v>
      </c>
      <c r="BD19" s="291"/>
      <c r="BE19" s="291" t="s">
        <v>193</v>
      </c>
      <c r="BF19" s="291"/>
      <c r="BG19" s="291" t="s">
        <v>194</v>
      </c>
      <c r="BH19" s="291"/>
    </row>
    <row r="20" spans="1:62" x14ac:dyDescent="0.25">
      <c r="A20" s="85" t="s">
        <v>229</v>
      </c>
      <c r="B20" s="85">
        <v>36</v>
      </c>
      <c r="C20" s="85">
        <v>6984</v>
      </c>
      <c r="D20" s="85">
        <v>5168</v>
      </c>
      <c r="E20" s="91">
        <f t="shared" si="0"/>
        <v>7682.4000000000005</v>
      </c>
      <c r="F20" s="91">
        <f t="shared" si="1"/>
        <v>5684.8</v>
      </c>
      <c r="G20" s="91">
        <v>5056.6666666666697</v>
      </c>
      <c r="H20" s="91">
        <v>3609.6666666666702</v>
      </c>
      <c r="I20" s="91">
        <f t="shared" si="2"/>
        <v>5562.3333333333367</v>
      </c>
      <c r="J20" s="92">
        <f t="shared" si="3"/>
        <v>3970.6333333333373</v>
      </c>
      <c r="K20" s="91">
        <f>500+'Saisie maison'!$C$13*6</f>
        <v>800</v>
      </c>
      <c r="L20" s="85">
        <f>1500+'Saisie maison'!$C$13*7</f>
        <v>1850</v>
      </c>
      <c r="M20" s="91">
        <f>500+'Saisie maison'!$C$14*6</f>
        <v>500</v>
      </c>
      <c r="N20" s="85">
        <f>1500+'Saisie maison'!$C$14*7</f>
        <v>1500</v>
      </c>
      <c r="O20" s="91">
        <f>500+'Saisie maison'!$C$15*6</f>
        <v>500</v>
      </c>
      <c r="P20" s="85">
        <f>1500+'Saisie maison'!$C$15*7</f>
        <v>1500</v>
      </c>
      <c r="Q20" s="91">
        <f>500+'Saisie maison'!$C$16*6</f>
        <v>500</v>
      </c>
      <c r="R20" s="85">
        <f>1500+'Saisie maison'!$C$16*7</f>
        <v>1500</v>
      </c>
      <c r="S20" s="91">
        <f>500+'Saisie maison'!$C$17*6</f>
        <v>500</v>
      </c>
      <c r="T20" s="85">
        <f>1500+'Saisie maison'!$C$17*7</f>
        <v>1500</v>
      </c>
      <c r="U20" s="93">
        <v>550</v>
      </c>
      <c r="V20" s="93">
        <f t="shared" si="4"/>
        <v>275</v>
      </c>
      <c r="W20" s="93">
        <v>0</v>
      </c>
      <c r="X20" s="93"/>
      <c r="Y20" s="93"/>
      <c r="Z20" s="93"/>
      <c r="AM20" s="123"/>
      <c r="AY20" s="124" t="s">
        <v>230</v>
      </c>
      <c r="AZ20" s="85" t="s">
        <v>231</v>
      </c>
      <c r="BA20" s="124" t="s">
        <v>230</v>
      </c>
      <c r="BB20" s="85" t="s">
        <v>231</v>
      </c>
      <c r="BC20" s="124" t="s">
        <v>230</v>
      </c>
      <c r="BD20" s="85" t="s">
        <v>231</v>
      </c>
      <c r="BE20" s="124" t="s">
        <v>230</v>
      </c>
      <c r="BF20" s="85" t="s">
        <v>231</v>
      </c>
      <c r="BG20" s="124" t="s">
        <v>230</v>
      </c>
      <c r="BH20" s="85" t="s">
        <v>231</v>
      </c>
      <c r="BI20" s="125" t="s">
        <v>232</v>
      </c>
      <c r="BJ20" s="125" t="s">
        <v>233</v>
      </c>
    </row>
    <row r="21" spans="1:62" x14ac:dyDescent="0.25">
      <c r="A21" s="85" t="s">
        <v>234</v>
      </c>
      <c r="B21" s="85">
        <v>63</v>
      </c>
      <c r="C21" s="85">
        <v>6193</v>
      </c>
      <c r="D21" s="85">
        <v>4425</v>
      </c>
      <c r="E21" s="91">
        <f t="shared" si="0"/>
        <v>6812.3</v>
      </c>
      <c r="F21" s="91">
        <f t="shared" si="1"/>
        <v>4867.5</v>
      </c>
      <c r="G21" s="91">
        <v>4481</v>
      </c>
      <c r="H21" s="91">
        <v>3222.3333333333298</v>
      </c>
      <c r="I21" s="91">
        <f t="shared" si="2"/>
        <v>4929.1000000000004</v>
      </c>
      <c r="J21" s="92">
        <f t="shared" si="3"/>
        <v>3544.566666666663</v>
      </c>
      <c r="K21" s="91">
        <f>500+'Saisie maison'!$C$13*6</f>
        <v>800</v>
      </c>
      <c r="L21" s="85">
        <f>1500+'Saisie maison'!$C$13*7</f>
        <v>1850</v>
      </c>
      <c r="M21" s="91">
        <f>500+'Saisie maison'!$C$14*6</f>
        <v>500</v>
      </c>
      <c r="N21" s="85">
        <f>1500+'Saisie maison'!$C$14*7</f>
        <v>1500</v>
      </c>
      <c r="O21" s="91">
        <f>500+'Saisie maison'!$C$15*6</f>
        <v>500</v>
      </c>
      <c r="P21" s="85">
        <f>1500+'Saisie maison'!$C$15*7</f>
        <v>1500</v>
      </c>
      <c r="Q21" s="91">
        <f>500+'Saisie maison'!$C$16*6</f>
        <v>500</v>
      </c>
      <c r="R21" s="85">
        <f>1500+'Saisie maison'!$C$16*7</f>
        <v>1500</v>
      </c>
      <c r="S21" s="91">
        <f>500+'Saisie maison'!$C$17*6</f>
        <v>500</v>
      </c>
      <c r="T21" s="85">
        <f>1500+'Saisie maison'!$C$17*7</f>
        <v>1500</v>
      </c>
      <c r="U21" s="93">
        <v>550</v>
      </c>
      <c r="V21" s="93">
        <f t="shared" si="4"/>
        <v>275</v>
      </c>
      <c r="W21" s="93">
        <v>0</v>
      </c>
      <c r="X21" s="93"/>
      <c r="Y21" s="93"/>
      <c r="Z21" s="93"/>
      <c r="AN21" s="126" t="s">
        <v>235</v>
      </c>
      <c r="AO21" s="127" t="s">
        <v>236</v>
      </c>
      <c r="AP21" s="128"/>
      <c r="AQ21" s="128"/>
      <c r="AR21" s="128"/>
      <c r="AW21" s="295" t="s">
        <v>237</v>
      </c>
      <c r="AX21" s="125" t="s">
        <v>238</v>
      </c>
      <c r="AY21" s="85">
        <f>$AO6</f>
        <v>0.15570000000000001</v>
      </c>
      <c r="AZ21" s="122">
        <f>($AY$35/$BI21)*AY21</f>
        <v>194.625</v>
      </c>
      <c r="BA21" s="85" t="e">
        <f>$AO7</f>
        <v>#N/A</v>
      </c>
      <c r="BB21" s="122" t="e">
        <f>($BA$35/$BI21)*BA21</f>
        <v>#N/A</v>
      </c>
      <c r="BC21" s="85" t="e">
        <f>$AO8</f>
        <v>#N/A</v>
      </c>
      <c r="BD21" s="122" t="e">
        <f>($BC$35/$BI21)*BC21</f>
        <v>#N/A</v>
      </c>
      <c r="BE21" s="129" t="e">
        <f>AO9</f>
        <v>#N/A</v>
      </c>
      <c r="BF21" s="122" t="e">
        <f>($BE$35/BI21)*BE21</f>
        <v>#N/A</v>
      </c>
      <c r="BG21" s="85" t="e">
        <f>AO10</f>
        <v>#N/A</v>
      </c>
      <c r="BH21" s="122" t="e">
        <f>($BG$35/BI21)*BG21</f>
        <v>#N/A</v>
      </c>
      <c r="BI21" s="85">
        <v>2</v>
      </c>
      <c r="BJ21" s="85" t="s">
        <v>239</v>
      </c>
    </row>
    <row r="22" spans="1:62" x14ac:dyDescent="0.25">
      <c r="A22" s="85" t="s">
        <v>240</v>
      </c>
      <c r="B22" s="85">
        <v>16</v>
      </c>
      <c r="C22" s="85">
        <v>5056</v>
      </c>
      <c r="D22" s="85">
        <v>3504</v>
      </c>
      <c r="E22" s="91">
        <f t="shared" si="0"/>
        <v>5561.6</v>
      </c>
      <c r="F22" s="91">
        <f t="shared" si="1"/>
        <v>3854.4</v>
      </c>
      <c r="G22" s="91">
        <v>3550</v>
      </c>
      <c r="H22" s="91">
        <v>2470.6666666666702</v>
      </c>
      <c r="I22" s="91">
        <f t="shared" si="2"/>
        <v>3905.0000000000005</v>
      </c>
      <c r="J22" s="92">
        <f t="shared" si="3"/>
        <v>2717.7333333333372</v>
      </c>
      <c r="K22" s="91">
        <f>250+'Saisie maison'!$C$13*5</f>
        <v>500</v>
      </c>
      <c r="L22" s="85">
        <f>700+'Saisie maison'!$C$13*7</f>
        <v>1050</v>
      </c>
      <c r="M22" s="91">
        <f>250+'Saisie maison'!$C$14*5</f>
        <v>250</v>
      </c>
      <c r="N22" s="85">
        <f>700+'Saisie maison'!$C$14*7</f>
        <v>700</v>
      </c>
      <c r="O22" s="91">
        <f>250+'Saisie maison'!$C$15*5</f>
        <v>250</v>
      </c>
      <c r="P22" s="85">
        <f>700+'Saisie maison'!$C$15*7</f>
        <v>700</v>
      </c>
      <c r="Q22" s="91">
        <f>250+'Saisie maison'!$C$16*5</f>
        <v>250</v>
      </c>
      <c r="R22" s="85">
        <f>700+'Saisie maison'!$C$16*7</f>
        <v>700</v>
      </c>
      <c r="S22" s="91">
        <f>250+'Saisie maison'!$C$17*5</f>
        <v>250</v>
      </c>
      <c r="T22" s="85">
        <f>700+'Saisie maison'!$C$17*7</f>
        <v>700</v>
      </c>
      <c r="U22" s="93">
        <v>400</v>
      </c>
      <c r="V22" s="93">
        <f t="shared" si="4"/>
        <v>200</v>
      </c>
      <c r="W22" s="93">
        <v>0</v>
      </c>
      <c r="X22" s="93"/>
      <c r="Y22" s="93"/>
      <c r="Z22" s="93"/>
      <c r="AM22" s="85" t="s">
        <v>185</v>
      </c>
      <c r="AN22" s="85">
        <f>'Saisie maison'!C13*18+('Saisie maison'!H13+'Saisie maison'!I13-1)*'Saisie maison'!C13*3.5</f>
        <v>1250</v>
      </c>
      <c r="AO22" s="85">
        <f>AN22*AO6+AN6</f>
        <v>336.70500000000004</v>
      </c>
      <c r="AS22" s="21">
        <f>AN22*AO6+AN6</f>
        <v>336.70500000000004</v>
      </c>
      <c r="AW22" s="295"/>
      <c r="AX22" s="85" t="s">
        <v>241</v>
      </c>
      <c r="AY22" s="85">
        <f>(AP37+AP38)/2</f>
        <v>5.9499999999999997E-2</v>
      </c>
      <c r="AZ22" s="122">
        <f>($AY$35/BI22)*AY22*0.4</f>
        <v>62.631578947368432</v>
      </c>
      <c r="BA22" s="85">
        <f>AY22</f>
        <v>5.9499999999999997E-2</v>
      </c>
      <c r="BB22" s="122">
        <f>($BA$35/$BI22)*BA22*0.4</f>
        <v>10.021052631578948</v>
      </c>
      <c r="BC22" s="85">
        <f>AY22</f>
        <v>5.9499999999999997E-2</v>
      </c>
      <c r="BD22" s="122">
        <f>($BC$35/$BI22)*BC22*0.4</f>
        <v>10.021052631578948</v>
      </c>
      <c r="BE22" s="85">
        <f>AY22</f>
        <v>5.9499999999999997E-2</v>
      </c>
      <c r="BF22" s="122">
        <f>($BE$35/BI22)*BE22*0.4</f>
        <v>10.021052631578948</v>
      </c>
      <c r="BG22" s="130">
        <f>AY22</f>
        <v>5.9499999999999997E-2</v>
      </c>
      <c r="BH22" s="122">
        <f>($BG$35/BI22)*BG22*0.4</f>
        <v>10.021052631578948</v>
      </c>
      <c r="BI22" s="85">
        <v>0.95</v>
      </c>
      <c r="BJ22" s="85" t="s">
        <v>242</v>
      </c>
    </row>
    <row r="23" spans="1:62" x14ac:dyDescent="0.25">
      <c r="A23" s="85" t="s">
        <v>243</v>
      </c>
      <c r="B23" s="85">
        <v>40</v>
      </c>
      <c r="C23" s="85">
        <v>4745</v>
      </c>
      <c r="D23" s="85">
        <v>3195</v>
      </c>
      <c r="E23" s="91">
        <f t="shared" si="0"/>
        <v>5219.5</v>
      </c>
      <c r="F23" s="91">
        <f t="shared" si="1"/>
        <v>3514.5000000000005</v>
      </c>
      <c r="G23" s="91">
        <v>3240</v>
      </c>
      <c r="H23" s="91">
        <v>2159.3333333333298</v>
      </c>
      <c r="I23" s="91">
        <f t="shared" si="2"/>
        <v>3564.0000000000005</v>
      </c>
      <c r="J23" s="92">
        <f t="shared" si="3"/>
        <v>2375.2666666666632</v>
      </c>
      <c r="K23" s="91">
        <f>250+'Saisie maison'!$C$13*5</f>
        <v>500</v>
      </c>
      <c r="L23" s="85">
        <f>700+'Saisie maison'!$C$13*7</f>
        <v>1050</v>
      </c>
      <c r="M23" s="91">
        <f>250+'Saisie maison'!$C$14*5</f>
        <v>250</v>
      </c>
      <c r="N23" s="85">
        <f>700+'Saisie maison'!$C$14*7</f>
        <v>700</v>
      </c>
      <c r="O23" s="91">
        <f>250+'Saisie maison'!$C$15*5</f>
        <v>250</v>
      </c>
      <c r="P23" s="85">
        <f>700+'Saisie maison'!$C$15*7</f>
        <v>700</v>
      </c>
      <c r="Q23" s="91">
        <f>250+'Saisie maison'!$C$16*5</f>
        <v>250</v>
      </c>
      <c r="R23" s="85">
        <f>700+'Saisie maison'!$C$16*7</f>
        <v>700</v>
      </c>
      <c r="S23" s="91">
        <f>250+'Saisie maison'!$C$17*5</f>
        <v>250</v>
      </c>
      <c r="T23" s="85">
        <f>700+'Saisie maison'!$C$17*7</f>
        <v>700</v>
      </c>
      <c r="U23" s="93">
        <v>400</v>
      </c>
      <c r="V23" s="93">
        <f t="shared" si="4"/>
        <v>200</v>
      </c>
      <c r="W23" s="93">
        <v>0</v>
      </c>
      <c r="X23" s="93"/>
      <c r="Y23" s="93"/>
      <c r="Z23" s="93"/>
      <c r="AC23" s="21" t="s">
        <v>58</v>
      </c>
      <c r="AM23" s="85" t="s">
        <v>188</v>
      </c>
      <c r="AN23" s="85">
        <f>'Saisie maison'!C14*18+('Saisie maison'!H14+'Saisie maison'!I14-1)*'Saisie maison'!C14*3.5</f>
        <v>0</v>
      </c>
      <c r="AO23" s="85" t="e">
        <f>AN23*AO7+AN7</f>
        <v>#N/A</v>
      </c>
      <c r="AW23" s="295"/>
      <c r="AX23" s="85" t="s">
        <v>244</v>
      </c>
      <c r="AY23" s="85">
        <f>AO6</f>
        <v>0.15570000000000001</v>
      </c>
      <c r="AZ23" s="122">
        <f>($AY$35/BI23)*AY23*0.4</f>
        <v>163.89473684210529</v>
      </c>
      <c r="BA23" s="85" t="e">
        <f>$AO7</f>
        <v>#N/A</v>
      </c>
      <c r="BB23" s="122" t="e">
        <f>($BA$35/$BI23)*BA23*0.4</f>
        <v>#N/A</v>
      </c>
      <c r="BC23" s="85" t="e">
        <f>$AO8</f>
        <v>#N/A</v>
      </c>
      <c r="BD23" s="122" t="e">
        <f>($BC$35/$BI23)*BC23*0.4</f>
        <v>#N/A</v>
      </c>
      <c r="BE23" s="85" t="e">
        <f>AO9</f>
        <v>#N/A</v>
      </c>
      <c r="BF23" s="122" t="e">
        <f>($BE$35/BI23)*BE23*0.4</f>
        <v>#N/A</v>
      </c>
      <c r="BG23" s="130" t="e">
        <f>AO10</f>
        <v>#N/A</v>
      </c>
      <c r="BH23" s="122" t="e">
        <f>($BG$35/BI23)*BG23*0.4</f>
        <v>#N/A</v>
      </c>
      <c r="BI23" s="85">
        <v>0.95</v>
      </c>
      <c r="BJ23" s="85" t="s">
        <v>242</v>
      </c>
    </row>
    <row r="24" spans="1:62" x14ac:dyDescent="0.25">
      <c r="A24" s="85" t="s">
        <v>245</v>
      </c>
      <c r="B24" s="85">
        <v>21</v>
      </c>
      <c r="C24" s="85">
        <v>7055</v>
      </c>
      <c r="D24" s="85">
        <v>5150</v>
      </c>
      <c r="E24" s="91">
        <f t="shared" si="0"/>
        <v>7760.5000000000009</v>
      </c>
      <c r="F24" s="91">
        <f t="shared" si="1"/>
        <v>5665.0000000000009</v>
      </c>
      <c r="G24" s="91">
        <v>5208.3333333333303</v>
      </c>
      <c r="H24" s="91">
        <v>3824.6666666666702</v>
      </c>
      <c r="I24" s="91">
        <f t="shared" si="2"/>
        <v>5729.1666666666642</v>
      </c>
      <c r="J24" s="92">
        <f t="shared" si="3"/>
        <v>4207.1333333333378</v>
      </c>
      <c r="K24" s="91">
        <f>500+'Saisie maison'!$C$13*6</f>
        <v>800</v>
      </c>
      <c r="L24" s="85">
        <f>1500+'Saisie maison'!$C$13*7</f>
        <v>1850</v>
      </c>
      <c r="M24" s="91">
        <f>500+'Saisie maison'!$C$14*6</f>
        <v>500</v>
      </c>
      <c r="N24" s="85">
        <f>1500+'Saisie maison'!$C$14*7</f>
        <v>1500</v>
      </c>
      <c r="O24" s="91">
        <f>500+'Saisie maison'!$C$15*6</f>
        <v>500</v>
      </c>
      <c r="P24" s="85">
        <f>1500+'Saisie maison'!$C$15*7</f>
        <v>1500</v>
      </c>
      <c r="Q24" s="91">
        <f>500+'Saisie maison'!$C$16*6</f>
        <v>500</v>
      </c>
      <c r="R24" s="85">
        <f>1500+'Saisie maison'!$C$16*7</f>
        <v>1500</v>
      </c>
      <c r="S24" s="91">
        <f>500+'Saisie maison'!$C$17*6</f>
        <v>500</v>
      </c>
      <c r="T24" s="85">
        <f>1500+'Saisie maison'!$C$17*7</f>
        <v>1500</v>
      </c>
      <c r="U24" s="93">
        <v>550</v>
      </c>
      <c r="V24" s="93">
        <f t="shared" si="4"/>
        <v>275</v>
      </c>
      <c r="W24" s="93">
        <v>0</v>
      </c>
      <c r="X24" s="93"/>
      <c r="Y24" s="93"/>
      <c r="Z24" s="93"/>
      <c r="AC24" s="21" t="s">
        <v>246</v>
      </c>
      <c r="AM24" s="85" t="s">
        <v>192</v>
      </c>
      <c r="AN24" s="85">
        <f>'Saisie maison'!C15*18+('Saisie maison'!H15+'Saisie maison'!I15-1)*'Saisie maison'!C15*3.5</f>
        <v>0</v>
      </c>
      <c r="AO24" s="85" t="e">
        <f>AN24*AO8+AN8</f>
        <v>#N/A</v>
      </c>
      <c r="AW24" s="295"/>
      <c r="AX24" s="85" t="s">
        <v>247</v>
      </c>
      <c r="AY24" s="85">
        <f>$AP$39</f>
        <v>0.10199999999999999</v>
      </c>
      <c r="AZ24" s="122">
        <f>($AY$35/BI24)*AY24*0.4</f>
        <v>113.33333333333333</v>
      </c>
      <c r="BA24" s="85">
        <f>$AP$39</f>
        <v>0.10199999999999999</v>
      </c>
      <c r="BB24" s="122">
        <f>($BA$35/$BI24)*BA24*0.4</f>
        <v>18.133333333333333</v>
      </c>
      <c r="BC24" s="85">
        <f>$AP$39</f>
        <v>0.10199999999999999</v>
      </c>
      <c r="BD24" s="122">
        <f>($BC$35/$BI24)*BC24*0.4</f>
        <v>18.133333333333333</v>
      </c>
      <c r="BE24" s="85">
        <f>AP39</f>
        <v>0.10199999999999999</v>
      </c>
      <c r="BF24" s="122">
        <f>($BE$35/BI24)*BE24*0.4</f>
        <v>18.133333333333333</v>
      </c>
      <c r="BG24" s="130">
        <f>AY24</f>
        <v>0.10199999999999999</v>
      </c>
      <c r="BH24" s="122">
        <f>($BG$35/BI24)*BG24*0.4</f>
        <v>18.133333333333333</v>
      </c>
      <c r="BI24" s="85">
        <v>0.9</v>
      </c>
      <c r="BJ24" s="85" t="s">
        <v>242</v>
      </c>
    </row>
    <row r="25" spans="1:62" x14ac:dyDescent="0.25">
      <c r="A25" s="85" t="s">
        <v>248</v>
      </c>
      <c r="B25" s="85">
        <v>5</v>
      </c>
      <c r="C25" s="85">
        <v>6705</v>
      </c>
      <c r="D25" s="85">
        <v>4758</v>
      </c>
      <c r="E25" s="91">
        <f t="shared" si="0"/>
        <v>7375.5000000000009</v>
      </c>
      <c r="F25" s="91">
        <f t="shared" si="1"/>
        <v>5233.8</v>
      </c>
      <c r="G25" s="91">
        <v>4815</v>
      </c>
      <c r="H25" s="91">
        <v>3448.3333333333298</v>
      </c>
      <c r="I25" s="91">
        <f t="shared" si="2"/>
        <v>5296.5</v>
      </c>
      <c r="J25" s="92">
        <f t="shared" si="3"/>
        <v>3793.1666666666633</v>
      </c>
      <c r="K25" s="91">
        <f>600+'Saisie maison'!$C$13*7</f>
        <v>950</v>
      </c>
      <c r="L25" s="85">
        <f>1500+'Saisie maison'!$C$13*7</f>
        <v>1850</v>
      </c>
      <c r="M25" s="91">
        <f>600+'Saisie maison'!$C$14*7</f>
        <v>600</v>
      </c>
      <c r="N25" s="85">
        <f>1500+'Saisie maison'!$C$14*7</f>
        <v>1500</v>
      </c>
      <c r="O25" s="91">
        <f>600+'Saisie maison'!$C$15*7</f>
        <v>600</v>
      </c>
      <c r="P25" s="85">
        <f>1500+'Saisie maison'!$C$15*7</f>
        <v>1500</v>
      </c>
      <c r="Q25" s="91">
        <f>600+'Saisie maison'!$C$16*7</f>
        <v>600</v>
      </c>
      <c r="R25" s="85">
        <f>1500+'Saisie maison'!$C$16*7</f>
        <v>1500</v>
      </c>
      <c r="S25" s="91">
        <f>600+'Saisie maison'!$C$17*7</f>
        <v>600</v>
      </c>
      <c r="T25" s="85">
        <f>1500+'Saisie maison'!$C$17*7</f>
        <v>1500</v>
      </c>
      <c r="U25" s="93">
        <v>700</v>
      </c>
      <c r="V25" s="93">
        <f t="shared" si="4"/>
        <v>350</v>
      </c>
      <c r="W25" s="93">
        <v>0</v>
      </c>
      <c r="X25" s="93"/>
      <c r="Y25" s="93"/>
      <c r="Z25" s="93"/>
      <c r="AM25" s="85" t="s">
        <v>193</v>
      </c>
      <c r="AN25" s="85">
        <f>'Saisie maison'!C16*18+('Saisie maison'!H16+'Saisie maison'!I16-1)*'Saisie maison'!C16*3.5</f>
        <v>0</v>
      </c>
      <c r="AO25" s="122" t="e">
        <f>AN25*AO9+AN9</f>
        <v>#N/A</v>
      </c>
      <c r="AW25" s="295"/>
      <c r="AX25" s="85" t="s">
        <v>249</v>
      </c>
      <c r="AY25" s="85">
        <f>AO15</f>
        <v>7.8899999999999998E-2</v>
      </c>
      <c r="AZ25" s="122">
        <f>($AY$35/BI25)*AY25*0.4</f>
        <v>83.052631578947384</v>
      </c>
      <c r="BA25" s="85" t="e">
        <f>AO16</f>
        <v>#N/A</v>
      </c>
      <c r="BB25" s="122" t="e">
        <f>($BA$35/$BI25)*BA25*0.4</f>
        <v>#N/A</v>
      </c>
      <c r="BC25" s="85" t="e">
        <f>AO17</f>
        <v>#N/A</v>
      </c>
      <c r="BD25" s="122" t="e">
        <f>($BC$35/$BI25)*BC25*0.4</f>
        <v>#N/A</v>
      </c>
      <c r="BE25" s="85" t="e">
        <f>AO18</f>
        <v>#N/A</v>
      </c>
      <c r="BF25" s="122" t="e">
        <f>($BE$35/BI25)*BE25*0.4</f>
        <v>#N/A</v>
      </c>
      <c r="BG25" s="130" t="e">
        <f>AO19</f>
        <v>#N/A</v>
      </c>
      <c r="BH25" s="122" t="e">
        <f>($BG$35/BI25)*BG25*0.4</f>
        <v>#N/A</v>
      </c>
      <c r="BI25" s="85">
        <v>0.95</v>
      </c>
      <c r="BJ25" s="85" t="s">
        <v>242</v>
      </c>
    </row>
    <row r="26" spans="1:62" ht="15" customHeight="1" x14ac:dyDescent="0.25">
      <c r="A26" s="85" t="s">
        <v>250</v>
      </c>
      <c r="B26" s="85">
        <v>46</v>
      </c>
      <c r="C26" s="85">
        <v>5613</v>
      </c>
      <c r="D26" s="85">
        <v>3905</v>
      </c>
      <c r="E26" s="91">
        <f t="shared" si="0"/>
        <v>6174.3</v>
      </c>
      <c r="F26" s="91">
        <f t="shared" si="1"/>
        <v>4295.5</v>
      </c>
      <c r="G26" s="91">
        <v>3954.6666666666702</v>
      </c>
      <c r="H26" s="91">
        <v>2773.3333333333298</v>
      </c>
      <c r="I26" s="91">
        <f t="shared" si="2"/>
        <v>4350.1333333333378</v>
      </c>
      <c r="J26" s="92">
        <f t="shared" si="3"/>
        <v>3050.6666666666629</v>
      </c>
      <c r="K26" s="91">
        <f>500+'Saisie maison'!$C$13*6</f>
        <v>800</v>
      </c>
      <c r="L26" s="85">
        <f>1500+'Saisie maison'!$C$13*7</f>
        <v>1850</v>
      </c>
      <c r="M26" s="91">
        <f>500+'Saisie maison'!$C$14*6</f>
        <v>500</v>
      </c>
      <c r="N26" s="85">
        <f>1500+'Saisie maison'!$C$14*7</f>
        <v>1500</v>
      </c>
      <c r="O26" s="91">
        <f>500+'Saisie maison'!$C$15*6</f>
        <v>500</v>
      </c>
      <c r="P26" s="85">
        <f>1500+'Saisie maison'!$C$15*7</f>
        <v>1500</v>
      </c>
      <c r="Q26" s="91">
        <f>500+'Saisie maison'!$C$16*6</f>
        <v>500</v>
      </c>
      <c r="R26" s="85">
        <f>1500+'Saisie maison'!$C$16*7</f>
        <v>1500</v>
      </c>
      <c r="S26" s="91">
        <f>500+'Saisie maison'!$C$17*6</f>
        <v>500</v>
      </c>
      <c r="T26" s="85">
        <f>1500+'Saisie maison'!$C$17*7</f>
        <v>1500</v>
      </c>
      <c r="U26" s="93">
        <v>550</v>
      </c>
      <c r="V26" s="93">
        <f t="shared" si="4"/>
        <v>275</v>
      </c>
      <c r="W26" s="93">
        <v>0</v>
      </c>
      <c r="X26" s="93"/>
      <c r="Y26" s="93"/>
      <c r="Z26" s="93"/>
      <c r="AC26" s="131" t="s">
        <v>251</v>
      </c>
      <c r="AM26" s="85" t="s">
        <v>194</v>
      </c>
      <c r="AN26" s="85">
        <f>'Saisie maison'!C17*18+('Saisie maison'!H17+'Saisie maison'!I17-1)*'Saisie maison'!C17*3.5</f>
        <v>0</v>
      </c>
      <c r="AO26" s="122" t="e">
        <f>AN26*AO10+AN10</f>
        <v>#N/A</v>
      </c>
      <c r="AW26" s="295"/>
      <c r="AX26" s="112" t="s">
        <v>252</v>
      </c>
      <c r="AY26" s="85">
        <f>AO6</f>
        <v>0.15570000000000001</v>
      </c>
      <c r="AZ26" s="122">
        <f>($AY$35/BI26)*AY26</f>
        <v>648.75000000000011</v>
      </c>
      <c r="BA26" s="85" t="e">
        <f>$AO$7</f>
        <v>#N/A</v>
      </c>
      <c r="BB26" s="122" t="e">
        <f>($BA$35/$BI26)*BA26</f>
        <v>#N/A</v>
      </c>
      <c r="BC26" s="85" t="e">
        <f>$AO$8</f>
        <v>#N/A</v>
      </c>
      <c r="BD26" s="122" t="e">
        <f>($BC$35/$BI26)*BC26</f>
        <v>#N/A</v>
      </c>
      <c r="BE26" s="85" t="e">
        <f>AO9</f>
        <v>#N/A</v>
      </c>
      <c r="BF26" s="122" t="e">
        <f>($BE$35/BI26)*BE26</f>
        <v>#N/A</v>
      </c>
      <c r="BG26" s="130" t="e">
        <f>AO10</f>
        <v>#N/A</v>
      </c>
      <c r="BH26" s="122" t="e">
        <f>($BG$35/BI26)*BG26</f>
        <v>#N/A</v>
      </c>
      <c r="BI26" s="85">
        <v>0.6</v>
      </c>
      <c r="BJ26" s="85" t="s">
        <v>239</v>
      </c>
    </row>
    <row r="27" spans="1:62" ht="15" customHeight="1" x14ac:dyDescent="0.25">
      <c r="A27" s="85" t="s">
        <v>253</v>
      </c>
      <c r="B27" s="85">
        <v>38</v>
      </c>
      <c r="C27" s="85">
        <v>6860</v>
      </c>
      <c r="D27" s="85">
        <v>4954</v>
      </c>
      <c r="E27" s="91">
        <f t="shared" si="0"/>
        <v>7546.0000000000009</v>
      </c>
      <c r="F27" s="91">
        <f t="shared" si="1"/>
        <v>5449.4000000000005</v>
      </c>
      <c r="G27" s="91">
        <v>5013</v>
      </c>
      <c r="H27" s="91">
        <v>3637</v>
      </c>
      <c r="I27" s="91">
        <f t="shared" si="2"/>
        <v>5514.3</v>
      </c>
      <c r="J27" s="92">
        <f t="shared" si="3"/>
        <v>4000.7000000000003</v>
      </c>
      <c r="K27" s="91">
        <f>600+'Saisie maison'!$C$13*7</f>
        <v>950</v>
      </c>
      <c r="L27" s="91">
        <f>1800+'Saisie maison'!$C$13*7</f>
        <v>2150</v>
      </c>
      <c r="M27" s="91">
        <f>600+'Saisie maison'!$C$14*7</f>
        <v>600</v>
      </c>
      <c r="N27" s="91">
        <f>1800+'Saisie maison'!$C$14*7</f>
        <v>1800</v>
      </c>
      <c r="O27" s="91">
        <f>600+'Saisie maison'!$C$15*7</f>
        <v>600</v>
      </c>
      <c r="P27" s="91">
        <f>1800+'Saisie maison'!$C$15*7</f>
        <v>1800</v>
      </c>
      <c r="Q27" s="91">
        <f>600+'Saisie maison'!$C$16*7</f>
        <v>600</v>
      </c>
      <c r="R27" s="91">
        <f>1800+'Saisie maison'!$C$16*7</f>
        <v>1800</v>
      </c>
      <c r="S27" s="91">
        <f>600+'Saisie maison'!$C$17*7</f>
        <v>600</v>
      </c>
      <c r="T27" s="91">
        <f>1800+'Saisie maison'!$C$17*7</f>
        <v>1800</v>
      </c>
      <c r="U27" s="93">
        <v>700</v>
      </c>
      <c r="V27" s="93">
        <f t="shared" si="4"/>
        <v>350</v>
      </c>
      <c r="W27" s="93">
        <v>0</v>
      </c>
      <c r="X27" s="93"/>
      <c r="Y27" s="93"/>
      <c r="Z27" s="93"/>
      <c r="AC27" s="131" t="s">
        <v>50</v>
      </c>
      <c r="AW27" s="295"/>
      <c r="AX27" s="85" t="s">
        <v>254</v>
      </c>
      <c r="AY27" s="85">
        <f>AO6</f>
        <v>0.15570000000000001</v>
      </c>
      <c r="AZ27" s="122">
        <f>($AY$35/BI27)*AY27</f>
        <v>580.97014925373139</v>
      </c>
      <c r="BA27" s="85" t="e">
        <f>$AO$7</f>
        <v>#N/A</v>
      </c>
      <c r="BB27" s="122" t="e">
        <f>($BA$35/$BI27)*BA27</f>
        <v>#N/A</v>
      </c>
      <c r="BC27" s="85" t="e">
        <f>$AO$8</f>
        <v>#N/A</v>
      </c>
      <c r="BD27" s="122" t="e">
        <f>($BC$35/$BI27)*BC27</f>
        <v>#N/A</v>
      </c>
      <c r="BE27" s="85" t="e">
        <f>AO9</f>
        <v>#N/A</v>
      </c>
      <c r="BF27" s="122" t="e">
        <f>($BE$35/BI27)*BE27</f>
        <v>#N/A</v>
      </c>
      <c r="BG27" s="130" t="e">
        <f>AO10</f>
        <v>#N/A</v>
      </c>
      <c r="BH27" s="122" t="e">
        <f>($BG$35/BI27)*BG27</f>
        <v>#N/A</v>
      </c>
      <c r="BI27" s="85">
        <v>0.67</v>
      </c>
      <c r="BJ27" s="85" t="s">
        <v>239</v>
      </c>
    </row>
    <row r="28" spans="1:62" x14ac:dyDescent="0.25">
      <c r="A28" s="85" t="s">
        <v>255</v>
      </c>
      <c r="B28" s="85">
        <v>17</v>
      </c>
      <c r="C28" s="85">
        <v>4634</v>
      </c>
      <c r="D28" s="85">
        <v>3187</v>
      </c>
      <c r="E28" s="91">
        <f t="shared" si="0"/>
        <v>5097.4000000000005</v>
      </c>
      <c r="F28" s="91">
        <f t="shared" si="1"/>
        <v>3505.7000000000003</v>
      </c>
      <c r="G28" s="91">
        <v>3229.6666666666702</v>
      </c>
      <c r="H28" s="91">
        <v>2227</v>
      </c>
      <c r="I28" s="91">
        <f t="shared" si="2"/>
        <v>3552.6333333333373</v>
      </c>
      <c r="J28" s="92">
        <f t="shared" si="3"/>
        <v>2449.7000000000003</v>
      </c>
      <c r="K28" s="91">
        <f>250+'Saisie maison'!$C$13*5</f>
        <v>500</v>
      </c>
      <c r="L28" s="85">
        <f>700+'Saisie maison'!$C$13*7</f>
        <v>1050</v>
      </c>
      <c r="M28" s="91">
        <f>250+'Saisie maison'!$C$14*5</f>
        <v>250</v>
      </c>
      <c r="N28" s="85">
        <f>700+'Saisie maison'!$C$14*7</f>
        <v>700</v>
      </c>
      <c r="O28" s="91">
        <f>250+'Saisie maison'!$C$15*5</f>
        <v>250</v>
      </c>
      <c r="P28" s="85">
        <f>700+'Saisie maison'!$C$15*7</f>
        <v>700</v>
      </c>
      <c r="Q28" s="91">
        <f>250+'Saisie maison'!$C$16*5</f>
        <v>250</v>
      </c>
      <c r="R28" s="85">
        <f>700+'Saisie maison'!$C$16*7</f>
        <v>700</v>
      </c>
      <c r="S28" s="91">
        <f>250+'Saisie maison'!$C$17*5</f>
        <v>250</v>
      </c>
      <c r="T28" s="85">
        <f>700+'Saisie maison'!$C$17*7</f>
        <v>700</v>
      </c>
      <c r="U28" s="93">
        <v>400</v>
      </c>
      <c r="V28" s="93">
        <f t="shared" si="4"/>
        <v>200</v>
      </c>
      <c r="W28" s="93">
        <v>0</v>
      </c>
      <c r="X28" s="93"/>
      <c r="Y28" s="93"/>
      <c r="Z28" s="93"/>
      <c r="AN28" s="126" t="s">
        <v>256</v>
      </c>
      <c r="AO28" s="124" t="s">
        <v>236</v>
      </c>
      <c r="AP28" s="132"/>
      <c r="AQ28" s="86"/>
      <c r="AR28" s="86"/>
      <c r="AW28" s="295"/>
      <c r="AX28" s="85" t="s">
        <v>87</v>
      </c>
      <c r="AY28" s="85">
        <f>AO6</f>
        <v>0.15570000000000001</v>
      </c>
      <c r="AZ28" s="122">
        <f>($AY$35/BI28)*AY28</f>
        <v>540.625</v>
      </c>
      <c r="BA28" s="85" t="e">
        <f>$AO$7</f>
        <v>#N/A</v>
      </c>
      <c r="BB28" s="122" t="e">
        <f>($BA$35/$BI28)*BA28</f>
        <v>#N/A</v>
      </c>
      <c r="BC28" s="85" t="e">
        <f>$AO$8</f>
        <v>#N/A</v>
      </c>
      <c r="BD28" s="122" t="e">
        <f>($BC$35/$BI28)*BC28</f>
        <v>#N/A</v>
      </c>
      <c r="BE28" s="85" t="e">
        <f>AO9</f>
        <v>#N/A</v>
      </c>
      <c r="BF28" s="122" t="e">
        <f>($BE$35/BI28)*BE28</f>
        <v>#N/A</v>
      </c>
      <c r="BG28" s="130" t="e">
        <f>AO10</f>
        <v>#N/A</v>
      </c>
      <c r="BH28" s="122" t="e">
        <f>($BG$35/BI28)*BG28</f>
        <v>#N/A</v>
      </c>
      <c r="BI28" s="85">
        <v>0.72</v>
      </c>
      <c r="BJ28" s="85" t="s">
        <v>239</v>
      </c>
    </row>
    <row r="29" spans="1:62" x14ac:dyDescent="0.25">
      <c r="A29" s="85" t="s">
        <v>257</v>
      </c>
      <c r="B29" s="85">
        <v>52</v>
      </c>
      <c r="C29" s="85">
        <v>8448</v>
      </c>
      <c r="D29" s="85">
        <v>6224</v>
      </c>
      <c r="E29" s="91">
        <f t="shared" si="0"/>
        <v>9292.8000000000011</v>
      </c>
      <c r="F29" s="91">
        <f t="shared" si="1"/>
        <v>6846.4000000000005</v>
      </c>
      <c r="G29" s="91">
        <v>6292</v>
      </c>
      <c r="H29" s="91">
        <v>4674.3333333333303</v>
      </c>
      <c r="I29" s="91">
        <f t="shared" si="2"/>
        <v>6921.2000000000007</v>
      </c>
      <c r="J29" s="92">
        <f t="shared" si="3"/>
        <v>5141.7666666666637</v>
      </c>
      <c r="K29" s="91">
        <f>500+'Saisie maison'!$C$13*6</f>
        <v>800</v>
      </c>
      <c r="L29" s="85">
        <f>1500+'Saisie maison'!$C$13*7</f>
        <v>1850</v>
      </c>
      <c r="M29" s="91">
        <f>500+'Saisie maison'!$C$14*6</f>
        <v>500</v>
      </c>
      <c r="N29" s="85">
        <f>1500+'Saisie maison'!$C$14*7</f>
        <v>1500</v>
      </c>
      <c r="O29" s="91">
        <f>500+'Saisie maison'!$C$15*6</f>
        <v>500</v>
      </c>
      <c r="P29" s="85">
        <f>1500+'Saisie maison'!$C$15*7</f>
        <v>1500</v>
      </c>
      <c r="Q29" s="91">
        <f>500+'Saisie maison'!$C$16*6</f>
        <v>500</v>
      </c>
      <c r="R29" s="85">
        <f>1500+'Saisie maison'!$C$16*7</f>
        <v>1500</v>
      </c>
      <c r="S29" s="91">
        <f>500+'Saisie maison'!$C$17*6</f>
        <v>500</v>
      </c>
      <c r="T29" s="85">
        <f>1500+'Saisie maison'!$C$17*7</f>
        <v>1500</v>
      </c>
      <c r="U29" s="93">
        <v>550</v>
      </c>
      <c r="V29" s="93">
        <f t="shared" si="4"/>
        <v>275</v>
      </c>
      <c r="W29" s="93">
        <v>0</v>
      </c>
      <c r="X29" s="93"/>
      <c r="Y29" s="93"/>
      <c r="Z29" s="93"/>
      <c r="AC29" s="21" t="s">
        <v>56</v>
      </c>
      <c r="AJ29" s="133"/>
      <c r="AM29" s="85" t="s">
        <v>185</v>
      </c>
      <c r="AN29" s="85">
        <f>350+IF('Saisie maison'!H13+'Saisie maison'!I13&gt;1,80*('Saisie maison'!H13+'Saisie maison'!I13-1),0)</f>
        <v>510</v>
      </c>
      <c r="AO29" s="122">
        <f>IF('Saisie maison'!G13="éléctricité",'élts calculs lgt ind'!$AO$6,IF('Saisie maison'!G13="gaz de ville",'élts calculs lgt ind'!$AO$15,'Référence&amp;tarifs'!$B$26))*AN29</f>
        <v>104.55</v>
      </c>
      <c r="AS29" s="21">
        <f>AN29*AO6</f>
        <v>79.406999999999996</v>
      </c>
      <c r="AT29" s="21">
        <f>AN29*AO15</f>
        <v>40.238999999999997</v>
      </c>
      <c r="AW29" s="295"/>
      <c r="AX29" s="85" t="s">
        <v>258</v>
      </c>
      <c r="AY29" s="85">
        <f>AY24</f>
        <v>0.10199999999999999</v>
      </c>
      <c r="AZ29" s="122">
        <f>($AY$35/BI29)*AY29</f>
        <v>318.75</v>
      </c>
      <c r="BA29" s="85">
        <f>BA24</f>
        <v>0.10199999999999999</v>
      </c>
      <c r="BB29" s="122">
        <f>($BA$35/$BI29)*BA29</f>
        <v>51</v>
      </c>
      <c r="BC29" s="85">
        <f>BC24</f>
        <v>0.10199999999999999</v>
      </c>
      <c r="BD29" s="122">
        <f>($BC$35/$BI29)*BC29</f>
        <v>51</v>
      </c>
      <c r="BE29" s="85">
        <f>AP39</f>
        <v>0.10199999999999999</v>
      </c>
      <c r="BF29" s="122">
        <f>($BE$35/BI29)*BE29</f>
        <v>51</v>
      </c>
      <c r="BG29" s="130">
        <f>BG24</f>
        <v>0.10199999999999999</v>
      </c>
      <c r="BH29" s="122">
        <f>($BG$35/BI29)*BG29</f>
        <v>51</v>
      </c>
      <c r="BI29" s="85">
        <v>0.8</v>
      </c>
      <c r="BJ29" s="85" t="s">
        <v>258</v>
      </c>
    </row>
    <row r="30" spans="1:62" x14ac:dyDescent="0.25">
      <c r="A30" s="85" t="s">
        <v>259</v>
      </c>
      <c r="B30" s="85">
        <v>48</v>
      </c>
      <c r="C30" s="85">
        <v>6449</v>
      </c>
      <c r="D30" s="85">
        <v>4567</v>
      </c>
      <c r="E30" s="91">
        <f t="shared" si="0"/>
        <v>7093.9000000000005</v>
      </c>
      <c r="F30" s="91">
        <f t="shared" si="1"/>
        <v>5023.7000000000007</v>
      </c>
      <c r="G30" s="91">
        <v>4625</v>
      </c>
      <c r="H30" s="91">
        <v>3271.6666666666702</v>
      </c>
      <c r="I30" s="91">
        <f t="shared" si="2"/>
        <v>5087.5</v>
      </c>
      <c r="J30" s="92">
        <f t="shared" si="3"/>
        <v>3598.8333333333376</v>
      </c>
      <c r="K30" s="91">
        <f>500+'Saisie maison'!$C$13*6</f>
        <v>800</v>
      </c>
      <c r="L30" s="85">
        <f>1500+'Saisie maison'!$C$13*7</f>
        <v>1850</v>
      </c>
      <c r="M30" s="91">
        <f>500+'Saisie maison'!$C$14*6</f>
        <v>500</v>
      </c>
      <c r="N30" s="85">
        <f>1500+'Saisie maison'!$C$14*7</f>
        <v>1500</v>
      </c>
      <c r="O30" s="91">
        <f>500+'Saisie maison'!$C$15*6</f>
        <v>500</v>
      </c>
      <c r="P30" s="85">
        <f>1500+'Saisie maison'!$C$15*7</f>
        <v>1500</v>
      </c>
      <c r="Q30" s="91">
        <f>500+'Saisie maison'!$C$16*6</f>
        <v>500</v>
      </c>
      <c r="R30" s="85">
        <f>1500+'Saisie maison'!$C$16*7</f>
        <v>1500</v>
      </c>
      <c r="S30" s="91">
        <f>500+'Saisie maison'!$C$17*6</f>
        <v>500</v>
      </c>
      <c r="T30" s="85">
        <f>1500+'Saisie maison'!$C$17*7</f>
        <v>1500</v>
      </c>
      <c r="U30" s="93">
        <v>550</v>
      </c>
      <c r="V30" s="93">
        <f t="shared" si="4"/>
        <v>275</v>
      </c>
      <c r="W30" s="93">
        <v>0</v>
      </c>
      <c r="X30" s="93"/>
      <c r="Y30" s="93"/>
      <c r="Z30" s="93"/>
      <c r="AC30" s="21" t="s">
        <v>46</v>
      </c>
      <c r="AJ30" s="133"/>
      <c r="AM30" s="85" t="s">
        <v>188</v>
      </c>
      <c r="AN30" s="85">
        <f>350+IF('Saisie maison'!H14+'Saisie maison'!I14&gt;1,80*('Saisie maison'!H14+'Saisie maison'!I14-1),0)</f>
        <v>350</v>
      </c>
      <c r="AO30" s="122">
        <f>IF('Saisie maison'!G14="éléctricité",'élts calculs lgt ind'!$AO$6,IF('Saisie maison'!G14="gaz de ville",'élts calculs lgt ind'!$AO$15,'Référence&amp;tarifs'!$B$26))*AN30</f>
        <v>71.75</v>
      </c>
      <c r="AW30" s="295"/>
      <c r="AX30" s="112" t="s">
        <v>260</v>
      </c>
      <c r="AY30" s="85">
        <f>AY25</f>
        <v>7.8899999999999998E-2</v>
      </c>
      <c r="AZ30" s="122">
        <f>($AY$35/BI30)*AY30</f>
        <v>246.5625</v>
      </c>
      <c r="BA30" s="85" t="e">
        <f>BA25</f>
        <v>#N/A</v>
      </c>
      <c r="BB30" s="122" t="e">
        <f>($BA$35/$BI30)*BA30</f>
        <v>#N/A</v>
      </c>
      <c r="BC30" s="85" t="e">
        <f>BC25</f>
        <v>#N/A</v>
      </c>
      <c r="BD30" s="122" t="e">
        <f>($BC$35/$BI30)*BC30</f>
        <v>#N/A</v>
      </c>
      <c r="BE30" s="85" t="e">
        <f>AO18</f>
        <v>#N/A</v>
      </c>
      <c r="BF30" s="122" t="e">
        <f>($BE$35/BI30)*BE30</f>
        <v>#N/A</v>
      </c>
      <c r="BG30" s="130" t="e">
        <f>BG25</f>
        <v>#N/A</v>
      </c>
      <c r="BH30" s="122" t="e">
        <f>($BG$35/BI30)*BG30</f>
        <v>#N/A</v>
      </c>
      <c r="BI30" s="85">
        <v>0.8</v>
      </c>
      <c r="BJ30" s="85" t="s">
        <v>261</v>
      </c>
    </row>
    <row r="31" spans="1:62" x14ac:dyDescent="0.25">
      <c r="A31" s="85" t="s">
        <v>262</v>
      </c>
      <c r="B31" s="85">
        <v>59</v>
      </c>
      <c r="C31" s="85">
        <v>7989</v>
      </c>
      <c r="D31" s="85">
        <v>5774</v>
      </c>
      <c r="E31" s="91">
        <f t="shared" si="0"/>
        <v>8787.9000000000015</v>
      </c>
      <c r="F31" s="91">
        <f t="shared" si="1"/>
        <v>6351.4000000000005</v>
      </c>
      <c r="G31" s="91">
        <v>5841.3333333333303</v>
      </c>
      <c r="H31" s="91">
        <v>4245</v>
      </c>
      <c r="I31" s="91">
        <f t="shared" si="2"/>
        <v>6425.4666666666635</v>
      </c>
      <c r="J31" s="92">
        <f t="shared" si="3"/>
        <v>4669.5</v>
      </c>
      <c r="K31" s="91">
        <f>600+'Saisie maison'!$C$13*7</f>
        <v>950</v>
      </c>
      <c r="L31" s="91">
        <f>1800+'Saisie maison'!$C$13*7</f>
        <v>2150</v>
      </c>
      <c r="M31" s="91">
        <f>600+'Saisie maison'!$C$14*7</f>
        <v>600</v>
      </c>
      <c r="N31" s="91">
        <f>1800+'Saisie maison'!$C$14*7</f>
        <v>1800</v>
      </c>
      <c r="O31" s="91">
        <f>600+'Saisie maison'!$C$15*7</f>
        <v>600</v>
      </c>
      <c r="P31" s="91">
        <f>1800+'Saisie maison'!$C$15*7</f>
        <v>1800</v>
      </c>
      <c r="Q31" s="91">
        <f>600+'Saisie maison'!$C$16*7</f>
        <v>600</v>
      </c>
      <c r="R31" s="91">
        <f>1800+'Saisie maison'!$C$16*7</f>
        <v>1800</v>
      </c>
      <c r="S31" s="91">
        <f>600+'Saisie maison'!$C$17*7</f>
        <v>600</v>
      </c>
      <c r="T31" s="91">
        <f>1800+'Saisie maison'!$C$17*7</f>
        <v>1800</v>
      </c>
      <c r="U31" s="93">
        <v>700</v>
      </c>
      <c r="V31" s="93">
        <f t="shared" si="4"/>
        <v>350</v>
      </c>
      <c r="W31" s="93">
        <v>0</v>
      </c>
      <c r="X31" s="93"/>
      <c r="Y31" s="93"/>
      <c r="Z31" s="93"/>
      <c r="AI31" s="86" t="s">
        <v>173</v>
      </c>
      <c r="AJ31" s="133"/>
      <c r="AM31" s="85" t="s">
        <v>192</v>
      </c>
      <c r="AN31" s="85">
        <f>350+IF('Saisie maison'!H15+'Saisie maison'!I15&gt;1,80*('Saisie maison'!H15+'Saisie maison'!I15-1),0)</f>
        <v>350</v>
      </c>
      <c r="AO31" s="122">
        <f>IF('Saisie maison'!G15="éléctricité",'élts calculs lgt ind'!$AO$6,IF('Saisie maison'!G15="gaz de ville",'élts calculs lgt ind'!$AO$15,'Référence&amp;tarifs'!$B$26))*AN31</f>
        <v>71.75</v>
      </c>
      <c r="AW31" s="295"/>
      <c r="AX31" s="85" t="s">
        <v>263</v>
      </c>
      <c r="AY31" s="85">
        <f>AY22</f>
        <v>5.9499999999999997E-2</v>
      </c>
      <c r="AZ31" s="122">
        <f>($AY$35/BI31)*AY31*0.35</f>
        <v>54.80263157894737</v>
      </c>
      <c r="BA31" s="85">
        <f>AY31</f>
        <v>5.9499999999999997E-2</v>
      </c>
      <c r="BB31" s="122">
        <f>($BA$35/$BI31)*BA31*0.35</f>
        <v>8.7684210526315791</v>
      </c>
      <c r="BC31" s="85">
        <f>AY31</f>
        <v>5.9499999999999997E-2</v>
      </c>
      <c r="BD31" s="122">
        <f>($BC$35/$BI31)*BC31*0.35</f>
        <v>8.7684210526315791</v>
      </c>
      <c r="BE31" s="85">
        <f>AY31</f>
        <v>5.9499999999999997E-2</v>
      </c>
      <c r="BF31" s="122">
        <f>($BE$35/BI31)*BE31*0.35</f>
        <v>8.7684210526315791</v>
      </c>
      <c r="BG31" s="130">
        <f>AY22</f>
        <v>5.9499999999999997E-2</v>
      </c>
      <c r="BH31" s="122">
        <f>($BG$35/BI31)*BG31*0.35</f>
        <v>8.7684210526315791</v>
      </c>
      <c r="BI31" s="85">
        <v>0.95</v>
      </c>
      <c r="BJ31" s="85" t="s">
        <v>242</v>
      </c>
    </row>
    <row r="32" spans="1:62" x14ac:dyDescent="0.25">
      <c r="A32" s="85" t="s">
        <v>264</v>
      </c>
      <c r="B32" s="85">
        <v>87</v>
      </c>
      <c r="C32" s="85">
        <v>6589</v>
      </c>
      <c r="D32" s="85">
        <v>4624</v>
      </c>
      <c r="E32" s="91">
        <f t="shared" si="0"/>
        <v>7247.9000000000005</v>
      </c>
      <c r="F32" s="91">
        <f t="shared" si="1"/>
        <v>5086.4000000000005</v>
      </c>
      <c r="G32" s="91">
        <v>4683.3333333333303</v>
      </c>
      <c r="H32" s="91">
        <v>3295.3333333333298</v>
      </c>
      <c r="I32" s="91">
        <f t="shared" si="2"/>
        <v>5151.6666666666633</v>
      </c>
      <c r="J32" s="92">
        <f t="shared" si="3"/>
        <v>3624.8666666666631</v>
      </c>
      <c r="K32" s="91">
        <f>500+'Saisie maison'!$C$13*6</f>
        <v>800</v>
      </c>
      <c r="L32" s="85">
        <f>1500+'Saisie maison'!$C$13*7</f>
        <v>1850</v>
      </c>
      <c r="M32" s="91">
        <f>500+'Saisie maison'!$C$14*6</f>
        <v>500</v>
      </c>
      <c r="N32" s="85">
        <f>1500+'Saisie maison'!$C$14*7</f>
        <v>1500</v>
      </c>
      <c r="O32" s="91">
        <f>500+'Saisie maison'!$C$15*6</f>
        <v>500</v>
      </c>
      <c r="P32" s="85">
        <f>1500+'Saisie maison'!$C$15*7</f>
        <v>1500</v>
      </c>
      <c r="Q32" s="91">
        <f>500+'Saisie maison'!$C$16*6</f>
        <v>500</v>
      </c>
      <c r="R32" s="85">
        <f>1500+'Saisie maison'!$C$16*7</f>
        <v>1500</v>
      </c>
      <c r="S32" s="91">
        <f>500+'Saisie maison'!$C$17*6</f>
        <v>500</v>
      </c>
      <c r="T32" s="85">
        <f>1500+'Saisie maison'!$C$17*7</f>
        <v>1500</v>
      </c>
      <c r="U32" s="93">
        <v>550</v>
      </c>
      <c r="V32" s="93">
        <f t="shared" si="4"/>
        <v>275</v>
      </c>
      <c r="W32" s="93">
        <v>0</v>
      </c>
      <c r="X32" s="93"/>
      <c r="Y32" s="93"/>
      <c r="Z32" s="93"/>
      <c r="AC32" s="21" t="s">
        <v>265</v>
      </c>
      <c r="AI32" s="86" t="s">
        <v>266</v>
      </c>
      <c r="AJ32" s="133"/>
      <c r="AM32" s="85" t="s">
        <v>193</v>
      </c>
      <c r="AN32" s="85">
        <f>350+IF('Saisie maison'!H16+'Saisie maison'!I16&gt;1,80*('Saisie maison'!H16+'Saisie maison'!I16-1),0)</f>
        <v>350</v>
      </c>
      <c r="AO32" s="85">
        <f>IF('Saisie maison'!G16="éléctricité",'élts calculs lgt ind'!$AO$6,IF('Saisie maison'!G16="gaz de ville",'élts calculs lgt ind'!$AO18,'Référence&amp;tarifs'!$B$26))*AN32</f>
        <v>71.75</v>
      </c>
      <c r="AW32" s="295"/>
      <c r="AX32" s="85" t="s">
        <v>267</v>
      </c>
      <c r="AY32" s="85">
        <f>AO6</f>
        <v>0.15570000000000001</v>
      </c>
      <c r="AZ32" s="122">
        <f>($AY$35/BI32)*AY32*0.35</f>
        <v>143.40789473684211</v>
      </c>
      <c r="BA32" s="85" t="e">
        <f>$AO$7</f>
        <v>#N/A</v>
      </c>
      <c r="BB32" s="122" t="e">
        <f>($BA$35/$BI32)*BA32*0.35</f>
        <v>#N/A</v>
      </c>
      <c r="BC32" s="85" t="e">
        <f>$AO$8</f>
        <v>#N/A</v>
      </c>
      <c r="BD32" s="122" t="e">
        <f>($BC$35/$BI32)*BC32*0.35</f>
        <v>#N/A</v>
      </c>
      <c r="BE32" s="85" t="e">
        <f>AO9</f>
        <v>#N/A</v>
      </c>
      <c r="BF32" s="122" t="e">
        <f>($BE$35/BI32)*BE32*0.35</f>
        <v>#N/A</v>
      </c>
      <c r="BG32" s="130" t="e">
        <f>AO10</f>
        <v>#N/A</v>
      </c>
      <c r="BH32" s="122" t="e">
        <f>($BG$35/BI32)*BG32*0.35</f>
        <v>#N/A</v>
      </c>
      <c r="BI32" s="85">
        <v>0.95</v>
      </c>
      <c r="BJ32" s="85" t="s">
        <v>242</v>
      </c>
    </row>
    <row r="33" spans="1:62" x14ac:dyDescent="0.25">
      <c r="A33" s="85" t="s">
        <v>268</v>
      </c>
      <c r="B33" s="85">
        <v>56</v>
      </c>
      <c r="C33" s="85">
        <v>5395</v>
      </c>
      <c r="D33" s="85">
        <v>3703</v>
      </c>
      <c r="E33" s="91">
        <f t="shared" si="0"/>
        <v>5934.5000000000009</v>
      </c>
      <c r="F33" s="91">
        <f t="shared" si="1"/>
        <v>4073.3</v>
      </c>
      <c r="G33" s="91">
        <v>3754.6666666666702</v>
      </c>
      <c r="H33" s="91">
        <v>2568.6666666666702</v>
      </c>
      <c r="I33" s="91">
        <f t="shared" si="2"/>
        <v>4130.1333333333378</v>
      </c>
      <c r="J33" s="92">
        <f t="shared" si="3"/>
        <v>2825.5333333333374</v>
      </c>
      <c r="K33" s="91">
        <f>500+'Saisie maison'!$C$13*6</f>
        <v>800</v>
      </c>
      <c r="L33" s="85">
        <f>1500+'Saisie maison'!$C$13*7</f>
        <v>1850</v>
      </c>
      <c r="M33" s="91">
        <f>500+'Saisie maison'!$C$14*6</f>
        <v>500</v>
      </c>
      <c r="N33" s="85">
        <f>1500+'Saisie maison'!$C$14*7</f>
        <v>1500</v>
      </c>
      <c r="O33" s="91">
        <f>500+'Saisie maison'!$C$15*6</f>
        <v>500</v>
      </c>
      <c r="P33" s="85">
        <f>1500+'Saisie maison'!$C$15*7</f>
        <v>1500</v>
      </c>
      <c r="Q33" s="91">
        <f>500+'Saisie maison'!$C$16*6</f>
        <v>500</v>
      </c>
      <c r="R33" s="85">
        <f>1500+'Saisie maison'!$C$16*7</f>
        <v>1500</v>
      </c>
      <c r="S33" s="91">
        <f>500+'Saisie maison'!$C$17*6</f>
        <v>500</v>
      </c>
      <c r="T33" s="85">
        <f>1500+'Saisie maison'!$C$17*7</f>
        <v>1500</v>
      </c>
      <c r="U33" s="93">
        <v>550</v>
      </c>
      <c r="V33" s="93">
        <f t="shared" si="4"/>
        <v>275</v>
      </c>
      <c r="W33" s="93">
        <v>0</v>
      </c>
      <c r="X33" s="93"/>
      <c r="Y33" s="93"/>
      <c r="Z33" s="93"/>
      <c r="AC33" s="21" t="s">
        <v>48</v>
      </c>
      <c r="AD33" s="21">
        <f>IF(AD6&lt;5000,5,IF(AND(AD6&gt;4999,(AD6&lt;6000)),6,IF(AND(AD6&gt;5999,(AD6&lt;7000)),7,IF(AND(AD6&gt;6999,(AD6&lt;7000)),7,8))))</f>
        <v>5</v>
      </c>
      <c r="AI33" s="21" t="s">
        <v>60</v>
      </c>
      <c r="AJ33" s="133"/>
      <c r="AM33" s="85" t="s">
        <v>194</v>
      </c>
      <c r="AN33" s="85">
        <f>350+IF('Saisie maison'!H17+'Saisie maison'!I17&gt;1,80*('Saisie maison'!H17+'Saisie maison'!I17-1),0)</f>
        <v>350</v>
      </c>
      <c r="AO33" s="122">
        <f>IF('Saisie maison'!G17="éléctricité",'élts calculs lgt ind'!$AO$6,IF('Saisie maison'!G17="gaz de ville",'élts calculs lgt ind'!$AO19,'Référence&amp;tarifs'!$B$26))*AN33</f>
        <v>71.75</v>
      </c>
      <c r="AX33" s="85" t="s">
        <v>269</v>
      </c>
      <c r="AY33" s="85">
        <f>AY24</f>
        <v>0.10199999999999999</v>
      </c>
      <c r="AZ33" s="122">
        <f>($AY$35/BI33)*AY33*0.35</f>
        <v>99.166666666666657</v>
      </c>
      <c r="BA33" s="85">
        <f>AY24</f>
        <v>0.10199999999999999</v>
      </c>
      <c r="BB33" s="122">
        <f>($BA$35/$BI33)*BA33*0.35</f>
        <v>15.866666666666664</v>
      </c>
      <c r="BC33" s="85">
        <f>AY24</f>
        <v>0.10199999999999999</v>
      </c>
      <c r="BD33" s="122">
        <f>($BC$35/$BI33)*BC33*0.35</f>
        <v>15.866666666666664</v>
      </c>
      <c r="BE33" s="85">
        <f>AY24</f>
        <v>0.10199999999999999</v>
      </c>
      <c r="BF33" s="122">
        <f>($BE$35/BI33)*BE33*0.35</f>
        <v>15.866666666666664</v>
      </c>
      <c r="BG33" s="130">
        <f>BG29</f>
        <v>0.10199999999999999</v>
      </c>
      <c r="BH33" s="122">
        <f>($BG$35/BI33)*BG33*0.35</f>
        <v>15.866666666666664</v>
      </c>
      <c r="BI33" s="85">
        <v>0.9</v>
      </c>
      <c r="BJ33" s="85" t="s">
        <v>242</v>
      </c>
    </row>
    <row r="34" spans="1:62" x14ac:dyDescent="0.25">
      <c r="A34" s="85" t="s">
        <v>270</v>
      </c>
      <c r="B34" s="85">
        <v>70</v>
      </c>
      <c r="C34" s="85">
        <v>7942</v>
      </c>
      <c r="D34" s="85">
        <v>5838</v>
      </c>
      <c r="E34" s="91">
        <f t="shared" si="0"/>
        <v>8736.2000000000007</v>
      </c>
      <c r="F34" s="91">
        <f t="shared" si="1"/>
        <v>6421.8</v>
      </c>
      <c r="G34" s="91">
        <v>5901.6666666666697</v>
      </c>
      <c r="H34" s="91">
        <v>4365.6666666666697</v>
      </c>
      <c r="I34" s="91">
        <f t="shared" si="2"/>
        <v>6491.8333333333376</v>
      </c>
      <c r="J34" s="92">
        <f t="shared" si="3"/>
        <v>4802.2333333333372</v>
      </c>
      <c r="K34" s="91">
        <f>600+'Saisie maison'!$C$13*7</f>
        <v>950</v>
      </c>
      <c r="L34" s="91">
        <f>1800+'Saisie maison'!$C$13*7</f>
        <v>2150</v>
      </c>
      <c r="M34" s="91">
        <f>600+'Saisie maison'!$C$14*7</f>
        <v>600</v>
      </c>
      <c r="N34" s="91">
        <f>1800+'Saisie maison'!$C$14*7</f>
        <v>1800</v>
      </c>
      <c r="O34" s="91">
        <f>600+'Saisie maison'!$C$15*7</f>
        <v>600</v>
      </c>
      <c r="P34" s="91">
        <f>1800+'Saisie maison'!$C$15*7</f>
        <v>1800</v>
      </c>
      <c r="Q34" s="91">
        <f>600+'Saisie maison'!$C$16*7</f>
        <v>600</v>
      </c>
      <c r="R34" s="91">
        <f>1800+'Saisie maison'!$C$16*7</f>
        <v>1800</v>
      </c>
      <c r="S34" s="91">
        <f>600+'Saisie maison'!$C$17*7</f>
        <v>600</v>
      </c>
      <c r="T34" s="91">
        <f>1800+'Saisie maison'!$C$17*7</f>
        <v>1800</v>
      </c>
      <c r="U34" s="93">
        <v>700</v>
      </c>
      <c r="V34" s="93">
        <f t="shared" si="4"/>
        <v>350</v>
      </c>
      <c r="W34" s="93">
        <v>0</v>
      </c>
      <c r="X34" s="93"/>
      <c r="Y34" s="93"/>
      <c r="Z34" s="93"/>
      <c r="AC34" s="21" t="s">
        <v>271</v>
      </c>
      <c r="AD34" s="134">
        <f>IF(AD6&lt;5000,7,IF(AND(AD6&gt;4999,(AD6&lt;6000)),9,IF(AND(AD6&gt;5999,(AD6&lt;7000)),11,IF(AND(AD6&gt;6999,(AD6&lt;7000)),12,13))))</f>
        <v>7</v>
      </c>
      <c r="AE34" s="134"/>
      <c r="AF34" s="134"/>
      <c r="AJ34" s="133"/>
      <c r="AX34" s="85" t="s">
        <v>272</v>
      </c>
      <c r="AY34" s="85">
        <f>AY30</f>
        <v>7.8899999999999998E-2</v>
      </c>
      <c r="AZ34" s="122">
        <f>($AY$35/BI34)*AY34*0.35</f>
        <v>72.671052631578945</v>
      </c>
      <c r="BA34" s="85" t="e">
        <f>BA30</f>
        <v>#N/A</v>
      </c>
      <c r="BB34" s="122" t="e">
        <f>($BA$35/$BI34)*BA34*0.35</f>
        <v>#N/A</v>
      </c>
      <c r="BC34" s="85" t="e">
        <f>BC30</f>
        <v>#N/A</v>
      </c>
      <c r="BD34" s="122" t="e">
        <f>($BC$35/$BI34)*BC34*0.35</f>
        <v>#N/A</v>
      </c>
      <c r="BE34" s="85" t="e">
        <f>AO18</f>
        <v>#N/A</v>
      </c>
      <c r="BF34" s="122" t="e">
        <f>($BE$35/BI34)*BE34*0.35</f>
        <v>#N/A</v>
      </c>
      <c r="BG34" s="130" t="e">
        <f>BG30</f>
        <v>#N/A</v>
      </c>
      <c r="BH34" s="122" t="e">
        <f>($BG$35/BI34)*BG34*0.35</f>
        <v>#N/A</v>
      </c>
      <c r="BI34" s="85">
        <v>0.95</v>
      </c>
      <c r="BJ34" s="85" t="s">
        <v>242</v>
      </c>
    </row>
    <row r="35" spans="1:62" x14ac:dyDescent="0.25">
      <c r="A35" s="85" t="s">
        <v>273</v>
      </c>
      <c r="B35" s="85">
        <v>69</v>
      </c>
      <c r="C35" s="85">
        <v>6828</v>
      </c>
      <c r="D35" s="85">
        <v>4897</v>
      </c>
      <c r="E35" s="91">
        <f t="shared" si="0"/>
        <v>7510.8</v>
      </c>
      <c r="F35" s="91">
        <f t="shared" si="1"/>
        <v>5386.7000000000007</v>
      </c>
      <c r="G35" s="91">
        <v>4955.6666666666697</v>
      </c>
      <c r="H35" s="91">
        <v>3552</v>
      </c>
      <c r="I35" s="91">
        <f t="shared" si="2"/>
        <v>5451.2333333333372</v>
      </c>
      <c r="J35" s="92">
        <f t="shared" si="3"/>
        <v>3907.2000000000003</v>
      </c>
      <c r="K35" s="91">
        <f>600+'Saisie maison'!$C$13*7</f>
        <v>950</v>
      </c>
      <c r="L35" s="91">
        <f>1800+'Saisie maison'!$C$13*7</f>
        <v>2150</v>
      </c>
      <c r="M35" s="91">
        <f>600+'Saisie maison'!$C$14*7</f>
        <v>600</v>
      </c>
      <c r="N35" s="91">
        <f>1800+'Saisie maison'!$C$14*7</f>
        <v>1800</v>
      </c>
      <c r="O35" s="91">
        <f>600+'Saisie maison'!$C$15*7</f>
        <v>600</v>
      </c>
      <c r="P35" s="91">
        <f>1800+'Saisie maison'!$C$15*7</f>
        <v>1800</v>
      </c>
      <c r="Q35" s="91">
        <f>600+'Saisie maison'!$C$16*7</f>
        <v>600</v>
      </c>
      <c r="R35" s="91">
        <f>1800+'Saisie maison'!$C$16*7</f>
        <v>1800</v>
      </c>
      <c r="S35" s="91">
        <f>600+'Saisie maison'!$C$17*7</f>
        <v>600</v>
      </c>
      <c r="T35" s="91">
        <f>1800+'Saisie maison'!$C$17*7</f>
        <v>1800</v>
      </c>
      <c r="U35" s="93">
        <v>700</v>
      </c>
      <c r="V35" s="93">
        <f t="shared" si="4"/>
        <v>350</v>
      </c>
      <c r="W35" s="93">
        <v>0</v>
      </c>
      <c r="X35" s="93"/>
      <c r="Y35" s="93"/>
      <c r="Z35" s="93"/>
      <c r="AC35" s="21" t="s">
        <v>88</v>
      </c>
      <c r="AD35" s="134"/>
      <c r="AE35" s="134"/>
      <c r="AF35" s="134"/>
      <c r="AJ35" s="133"/>
      <c r="AP35" s="85" t="s">
        <v>185</v>
      </c>
      <c r="AQ35" s="85" t="s">
        <v>188</v>
      </c>
      <c r="AR35" s="85" t="s">
        <v>192</v>
      </c>
      <c r="AS35" s="85" t="s">
        <v>193</v>
      </c>
      <c r="AT35" s="85" t="s">
        <v>194</v>
      </c>
      <c r="AX35" s="85" t="s">
        <v>274</v>
      </c>
      <c r="AY35" s="291">
        <f>1100+700*('Saisie maison'!$H13+'Saisie maison'!$I13-1)</f>
        <v>2500</v>
      </c>
      <c r="AZ35" s="291"/>
      <c r="BA35" s="291">
        <f>1100+700*('Saisie maison'!$H14+'Saisie maison'!$I14-1)</f>
        <v>400</v>
      </c>
      <c r="BB35" s="291"/>
      <c r="BC35" s="291">
        <f>1100+700*('Saisie maison'!$H15+'Saisie maison'!$I15-1)</f>
        <v>400</v>
      </c>
      <c r="BD35" s="291"/>
      <c r="BE35" s="291">
        <f>1100+700*('Saisie maison'!H16+'Saisie maison'!I16-1)</f>
        <v>400</v>
      </c>
      <c r="BF35" s="291"/>
      <c r="BG35" s="291">
        <f>1100+700*('Saisie maison'!H17+'Saisie maison'!I17-1)</f>
        <v>400</v>
      </c>
      <c r="BH35" s="291"/>
    </row>
    <row r="36" spans="1:62" x14ac:dyDescent="0.25">
      <c r="A36" s="85" t="s">
        <v>275</v>
      </c>
      <c r="B36" s="85">
        <v>71</v>
      </c>
      <c r="C36" s="85">
        <v>7386</v>
      </c>
      <c r="D36" s="85">
        <v>5319</v>
      </c>
      <c r="E36" s="91">
        <f t="shared" si="0"/>
        <v>8124.6</v>
      </c>
      <c r="F36" s="91">
        <f t="shared" si="1"/>
        <v>5850.9000000000005</v>
      </c>
      <c r="G36" s="91">
        <v>5380.3333333333303</v>
      </c>
      <c r="H36" s="91">
        <v>3887.3333333333298</v>
      </c>
      <c r="I36" s="91">
        <f t="shared" si="2"/>
        <v>5918.3666666666641</v>
      </c>
      <c r="J36" s="92">
        <f t="shared" si="3"/>
        <v>4276.066666666663</v>
      </c>
      <c r="K36" s="91">
        <f>500+'Saisie maison'!$C$13*6</f>
        <v>800</v>
      </c>
      <c r="L36" s="85">
        <f>1500+'Saisie maison'!$C$13*7</f>
        <v>1850</v>
      </c>
      <c r="M36" s="91">
        <f>500+'Saisie maison'!$C$14*6</f>
        <v>500</v>
      </c>
      <c r="N36" s="85">
        <f>1500+'Saisie maison'!$C$14*7</f>
        <v>1500</v>
      </c>
      <c r="O36" s="91">
        <f>500+'Saisie maison'!$C$15*6</f>
        <v>500</v>
      </c>
      <c r="P36" s="85">
        <f>1500+'Saisie maison'!$C$15*7</f>
        <v>1500</v>
      </c>
      <c r="Q36" s="91">
        <f>500+'Saisie maison'!$C$16*6</f>
        <v>500</v>
      </c>
      <c r="R36" s="85">
        <f>1500+'Saisie maison'!$C$16*7</f>
        <v>1500</v>
      </c>
      <c r="S36" s="91">
        <f>500+'Saisie maison'!$C$17*6</f>
        <v>500</v>
      </c>
      <c r="T36" s="85">
        <f>1500+'Saisie maison'!$C$17*7</f>
        <v>1500</v>
      </c>
      <c r="U36" s="93">
        <v>550</v>
      </c>
      <c r="V36" s="93">
        <f t="shared" si="4"/>
        <v>275</v>
      </c>
      <c r="W36" s="93">
        <v>0</v>
      </c>
      <c r="X36" s="93"/>
      <c r="Y36" s="93"/>
      <c r="Z36" s="93"/>
      <c r="AC36" s="21" t="s">
        <v>276</v>
      </c>
      <c r="AN36" s="85" t="s">
        <v>277</v>
      </c>
      <c r="AO36" s="135" t="s">
        <v>278</v>
      </c>
      <c r="AP36" s="291" t="s">
        <v>230</v>
      </c>
      <c r="AQ36" s="291"/>
      <c r="AR36" s="291"/>
      <c r="AS36" s="291"/>
      <c r="AT36" s="291"/>
      <c r="AY36" s="21" t="s">
        <v>279</v>
      </c>
    </row>
    <row r="37" spans="1:62" x14ac:dyDescent="0.25">
      <c r="A37" s="85" t="s">
        <v>44</v>
      </c>
      <c r="B37" s="85">
        <v>13</v>
      </c>
      <c r="C37" s="85">
        <v>4035</v>
      </c>
      <c r="D37" s="85">
        <v>2675</v>
      </c>
      <c r="E37" s="91">
        <f t="shared" si="0"/>
        <v>4438.5</v>
      </c>
      <c r="F37" s="91">
        <f t="shared" si="1"/>
        <v>2942.5000000000005</v>
      </c>
      <c r="G37" s="91">
        <v>2716</v>
      </c>
      <c r="H37" s="91">
        <v>1742.6666666666699</v>
      </c>
      <c r="I37" s="91">
        <f t="shared" si="2"/>
        <v>2987.6000000000004</v>
      </c>
      <c r="J37" s="92">
        <f t="shared" si="3"/>
        <v>1916.933333333337</v>
      </c>
      <c r="K37" s="91">
        <f>250+'Saisie maison'!$C$13*5</f>
        <v>500</v>
      </c>
      <c r="L37" s="85">
        <f>700+'Saisie maison'!$C$13*7</f>
        <v>1050</v>
      </c>
      <c r="M37" s="91">
        <f>250+'Saisie maison'!$C$14*5</f>
        <v>250</v>
      </c>
      <c r="N37" s="85">
        <f>700+'Saisie maison'!$C$14*7</f>
        <v>700</v>
      </c>
      <c r="O37" s="91">
        <f>250+'Saisie maison'!$C$15*5</f>
        <v>250</v>
      </c>
      <c r="P37" s="85">
        <f>700+'Saisie maison'!$C$15*7</f>
        <v>700</v>
      </c>
      <c r="Q37" s="91">
        <f>250+'Saisie maison'!$C$16*5</f>
        <v>250</v>
      </c>
      <c r="R37" s="85">
        <f>700+'Saisie maison'!$C$16*7</f>
        <v>700</v>
      </c>
      <c r="S37" s="91">
        <f>250+'Saisie maison'!$C$17*5</f>
        <v>250</v>
      </c>
      <c r="T37" s="85">
        <f>700+'Saisie maison'!$C$17*7</f>
        <v>700</v>
      </c>
      <c r="U37" s="93">
        <v>400</v>
      </c>
      <c r="V37" s="93">
        <f t="shared" si="4"/>
        <v>200</v>
      </c>
      <c r="W37" s="93">
        <v>0</v>
      </c>
      <c r="X37" s="93"/>
      <c r="Y37" s="93"/>
      <c r="Z37" s="93"/>
      <c r="AC37" s="21" t="s">
        <v>280</v>
      </c>
      <c r="AN37" s="85" t="s">
        <v>281</v>
      </c>
      <c r="AO37" s="85">
        <v>0.8</v>
      </c>
      <c r="AP37" s="85">
        <f>'Référence&amp;tarifs'!$B$23</f>
        <v>4.4999999999999998E-2</v>
      </c>
      <c r="AQ37" s="85">
        <f>'Référence&amp;tarifs'!$B$23</f>
        <v>4.4999999999999998E-2</v>
      </c>
      <c r="AR37" s="85">
        <f>'Référence&amp;tarifs'!$B$23</f>
        <v>4.4999999999999998E-2</v>
      </c>
      <c r="AS37" s="85">
        <f>'Référence&amp;tarifs'!B23</f>
        <v>4.4999999999999998E-2</v>
      </c>
      <c r="AT37" s="85">
        <f>'Référence&amp;tarifs'!B23</f>
        <v>4.4999999999999998E-2</v>
      </c>
      <c r="AU37" s="85" t="s">
        <v>282</v>
      </c>
      <c r="AX37" s="21" t="s">
        <v>185</v>
      </c>
      <c r="AY37" s="136">
        <f>VLOOKUP('Saisie maison'!E13,'élts calculs lgt ind'!$AX$21:$BJ$34,3,0)</f>
        <v>540.625</v>
      </c>
    </row>
    <row r="38" spans="1:62" x14ac:dyDescent="0.25">
      <c r="A38" s="85" t="s">
        <v>283</v>
      </c>
      <c r="B38" s="85">
        <v>57</v>
      </c>
      <c r="C38" s="85">
        <v>7646</v>
      </c>
      <c r="D38" s="85">
        <v>5628</v>
      </c>
      <c r="E38" s="91">
        <f t="shared" ref="E38:E67" si="5">C38*1.1</f>
        <v>8410.6</v>
      </c>
      <c r="F38" s="91">
        <f t="shared" ref="F38:F67" si="6">D38*1.1</f>
        <v>6190.8</v>
      </c>
      <c r="G38" s="91">
        <v>5690</v>
      </c>
      <c r="H38" s="91">
        <v>4221</v>
      </c>
      <c r="I38" s="91">
        <f t="shared" ref="I38:I67" si="7">G38*1.1</f>
        <v>6259.0000000000009</v>
      </c>
      <c r="J38" s="92">
        <f t="shared" ref="J38:J67" si="8">H38*1.1</f>
        <v>4643.1000000000004</v>
      </c>
      <c r="K38" s="91">
        <f>600+'Saisie maison'!$C$13*7</f>
        <v>950</v>
      </c>
      <c r="L38" s="91">
        <f>1800+'Saisie maison'!$C$13*7</f>
        <v>2150</v>
      </c>
      <c r="M38" s="91">
        <f>600+'Saisie maison'!$C$14*7</f>
        <v>600</v>
      </c>
      <c r="N38" s="91">
        <f>1800+'Saisie maison'!$C$14*7</f>
        <v>1800</v>
      </c>
      <c r="O38" s="91">
        <f>600+'Saisie maison'!$C$15*7</f>
        <v>600</v>
      </c>
      <c r="P38" s="91">
        <f>1800+'Saisie maison'!$C$15*7</f>
        <v>1800</v>
      </c>
      <c r="Q38" s="91">
        <f>600+'Saisie maison'!$C$16*7</f>
        <v>600</v>
      </c>
      <c r="R38" s="91">
        <f>1800+'Saisie maison'!$C$16*7</f>
        <v>1800</v>
      </c>
      <c r="S38" s="91">
        <f>600+'Saisie maison'!$C$17*7</f>
        <v>600</v>
      </c>
      <c r="T38" s="91">
        <f>1800+'Saisie maison'!$C$17*7</f>
        <v>1800</v>
      </c>
      <c r="U38" s="93">
        <v>700</v>
      </c>
      <c r="V38" s="93">
        <f t="shared" ref="V38:V69" si="9">U38/2</f>
        <v>350</v>
      </c>
      <c r="W38" s="93">
        <v>0</v>
      </c>
      <c r="X38" s="93"/>
      <c r="Y38" s="93"/>
      <c r="Z38" s="93"/>
      <c r="AC38" s="21" t="s">
        <v>284</v>
      </c>
      <c r="AN38" s="85" t="s">
        <v>285</v>
      </c>
      <c r="AO38" s="85">
        <v>0.85</v>
      </c>
      <c r="AP38" s="85">
        <f>'Référence&amp;tarifs'!$B$24</f>
        <v>7.3999999999999996E-2</v>
      </c>
      <c r="AQ38" s="85">
        <f>'Référence&amp;tarifs'!$B$24</f>
        <v>7.3999999999999996E-2</v>
      </c>
      <c r="AR38" s="85">
        <f>'Référence&amp;tarifs'!$B$24</f>
        <v>7.3999999999999996E-2</v>
      </c>
      <c r="AS38" s="85">
        <f>'Référence&amp;tarifs'!$B$24</f>
        <v>7.3999999999999996E-2</v>
      </c>
      <c r="AT38" s="85">
        <f>'Référence&amp;tarifs'!$B$24</f>
        <v>7.3999999999999996E-2</v>
      </c>
      <c r="AU38" s="85" t="s">
        <v>282</v>
      </c>
      <c r="AX38" s="21" t="s">
        <v>188</v>
      </c>
      <c r="AY38" s="136" t="e">
        <f>VLOOKUP('Saisie maison'!E14,'élts calculs lgt ind'!$AX$21:$BJ$34,5,0)</f>
        <v>#N/A</v>
      </c>
    </row>
    <row r="39" spans="1:62" x14ac:dyDescent="0.25">
      <c r="A39" s="85" t="s">
        <v>286</v>
      </c>
      <c r="B39" s="85">
        <v>12</v>
      </c>
      <c r="C39" s="85">
        <v>7433</v>
      </c>
      <c r="D39" s="85">
        <v>5264</v>
      </c>
      <c r="E39" s="91">
        <f t="shared" si="5"/>
        <v>8176.3000000000011</v>
      </c>
      <c r="F39" s="91">
        <f t="shared" si="6"/>
        <v>5790.4000000000005</v>
      </c>
      <c r="G39" s="91">
        <v>5329.3333333333303</v>
      </c>
      <c r="H39" s="91">
        <v>3781.3333333333298</v>
      </c>
      <c r="I39" s="91">
        <f t="shared" si="7"/>
        <v>5862.2666666666637</v>
      </c>
      <c r="J39" s="92">
        <f t="shared" si="8"/>
        <v>4159.4666666666635</v>
      </c>
      <c r="K39" s="91">
        <f>500+'Saisie maison'!$C$13*6</f>
        <v>800</v>
      </c>
      <c r="L39" s="85">
        <f>1500+'Saisie maison'!$C$13*7</f>
        <v>1850</v>
      </c>
      <c r="M39" s="91">
        <f>500+'Saisie maison'!$C$14*6</f>
        <v>500</v>
      </c>
      <c r="N39" s="85">
        <f>1500+'Saisie maison'!$C$14*7</f>
        <v>1500</v>
      </c>
      <c r="O39" s="91">
        <f>500+'Saisie maison'!$C$15*6</f>
        <v>500</v>
      </c>
      <c r="P39" s="85">
        <f>1500+'Saisie maison'!$C$15*7</f>
        <v>1500</v>
      </c>
      <c r="Q39" s="91">
        <f>500+'Saisie maison'!$C$16*6</f>
        <v>500</v>
      </c>
      <c r="R39" s="85">
        <f>1500+'Saisie maison'!$C$16*7</f>
        <v>1500</v>
      </c>
      <c r="S39" s="91">
        <f>500+'Saisie maison'!$C$17*6</f>
        <v>500</v>
      </c>
      <c r="T39" s="85">
        <f>1500+'Saisie maison'!$C$17*7</f>
        <v>1500</v>
      </c>
      <c r="U39" s="93">
        <v>550</v>
      </c>
      <c r="V39" s="93">
        <f t="shared" si="9"/>
        <v>275</v>
      </c>
      <c r="W39" s="93">
        <v>0</v>
      </c>
      <c r="X39" s="93"/>
      <c r="Y39" s="93"/>
      <c r="Z39" s="93"/>
      <c r="AN39" s="85" t="s">
        <v>287</v>
      </c>
      <c r="AO39" s="85">
        <v>0.8</v>
      </c>
      <c r="AP39" s="85">
        <f>'Référence&amp;tarifs'!$B$25</f>
        <v>0.10199999999999999</v>
      </c>
      <c r="AQ39" s="85">
        <f>'Référence&amp;tarifs'!$B$25</f>
        <v>0.10199999999999999</v>
      </c>
      <c r="AR39" s="85">
        <f>'Référence&amp;tarifs'!$B$25</f>
        <v>0.10199999999999999</v>
      </c>
      <c r="AS39" s="85">
        <f>'Référence&amp;tarifs'!$B$25</f>
        <v>0.10199999999999999</v>
      </c>
      <c r="AT39" s="85">
        <f>'Référence&amp;tarifs'!$B$25</f>
        <v>0.10199999999999999</v>
      </c>
      <c r="AU39" s="85" t="s">
        <v>258</v>
      </c>
      <c r="AX39" s="21" t="s">
        <v>192</v>
      </c>
      <c r="AY39" s="136" t="e">
        <f>VLOOKUP('Saisie maison'!E15,'élts calculs lgt ind'!$AX$21:$BJ$34,7,0)</f>
        <v>#N/A</v>
      </c>
    </row>
    <row r="40" spans="1:62" x14ac:dyDescent="0.25">
      <c r="A40" s="85" t="s">
        <v>288</v>
      </c>
      <c r="B40" s="85">
        <v>40</v>
      </c>
      <c r="C40" s="85">
        <v>5598</v>
      </c>
      <c r="D40" s="85">
        <v>3801</v>
      </c>
      <c r="E40" s="91">
        <f t="shared" si="5"/>
        <v>6157.8</v>
      </c>
      <c r="F40" s="91">
        <f t="shared" si="6"/>
        <v>4181.1000000000004</v>
      </c>
      <c r="G40" s="91">
        <v>3852.6666666666702</v>
      </c>
      <c r="H40" s="91">
        <v>2611.3333333333298</v>
      </c>
      <c r="I40" s="91">
        <f t="shared" si="7"/>
        <v>4237.9333333333379</v>
      </c>
      <c r="J40" s="92">
        <f t="shared" si="8"/>
        <v>2872.4666666666631</v>
      </c>
      <c r="K40" s="91">
        <f>250+'Saisie maison'!$C$13*5</f>
        <v>500</v>
      </c>
      <c r="L40" s="85">
        <f>700+'Saisie maison'!$C$13*7</f>
        <v>1050</v>
      </c>
      <c r="M40" s="91">
        <f>250+'Saisie maison'!$C$14*5</f>
        <v>250</v>
      </c>
      <c r="N40" s="85">
        <f>700+'Saisie maison'!$C$14*7</f>
        <v>700</v>
      </c>
      <c r="O40" s="91">
        <f>250+'Saisie maison'!$C$15*5</f>
        <v>250</v>
      </c>
      <c r="P40" s="85">
        <f>700+'Saisie maison'!$C$15*7</f>
        <v>700</v>
      </c>
      <c r="Q40" s="91">
        <f>250+'Saisie maison'!$C$16*5</f>
        <v>250</v>
      </c>
      <c r="R40" s="85">
        <f>700+'Saisie maison'!$C$16*7</f>
        <v>700</v>
      </c>
      <c r="S40" s="91">
        <f>250+'Saisie maison'!$C$17*5</f>
        <v>250</v>
      </c>
      <c r="T40" s="85">
        <f>700+'Saisie maison'!$C$17*7</f>
        <v>700</v>
      </c>
      <c r="U40" s="93">
        <v>400</v>
      </c>
      <c r="V40" s="93">
        <f t="shared" si="9"/>
        <v>200</v>
      </c>
      <c r="W40" s="93">
        <v>0</v>
      </c>
      <c r="X40" s="93"/>
      <c r="Y40" s="93"/>
      <c r="Z40" s="93"/>
      <c r="AC40" s="21" t="s">
        <v>289</v>
      </c>
      <c r="AN40" s="85" t="s">
        <v>290</v>
      </c>
      <c r="AO40" s="85">
        <v>0.85</v>
      </c>
      <c r="AP40" s="85">
        <f>'Référence&amp;tarifs'!$B$25</f>
        <v>0.10199999999999999</v>
      </c>
      <c r="AQ40" s="85">
        <f>'Référence&amp;tarifs'!$B$25</f>
        <v>0.10199999999999999</v>
      </c>
      <c r="AR40" s="85">
        <f>'Référence&amp;tarifs'!$B$25</f>
        <v>0.10199999999999999</v>
      </c>
      <c r="AS40" s="85">
        <f>'Référence&amp;tarifs'!$B$25</f>
        <v>0.10199999999999999</v>
      </c>
      <c r="AT40" s="85">
        <f>'Référence&amp;tarifs'!$B$25</f>
        <v>0.10199999999999999</v>
      </c>
      <c r="AU40" s="85" t="s">
        <v>258</v>
      </c>
      <c r="AX40" s="21" t="s">
        <v>193</v>
      </c>
      <c r="AY40" s="136" t="e">
        <f>VLOOKUP('Saisie maison'!E16,'élts calculs lgt ind'!AX21:BJ34,9,0)</f>
        <v>#N/A</v>
      </c>
    </row>
    <row r="41" spans="1:62" x14ac:dyDescent="0.25">
      <c r="A41" s="85" t="s">
        <v>291</v>
      </c>
      <c r="B41" s="85">
        <v>26</v>
      </c>
      <c r="C41" s="85">
        <v>5071</v>
      </c>
      <c r="D41" s="85">
        <v>3520</v>
      </c>
      <c r="E41" s="91">
        <f t="shared" si="5"/>
        <v>5578.1</v>
      </c>
      <c r="F41" s="91">
        <f t="shared" si="6"/>
        <v>3872.0000000000005</v>
      </c>
      <c r="G41" s="91">
        <v>3573.3333333333298</v>
      </c>
      <c r="H41" s="91">
        <v>2494.3333333333298</v>
      </c>
      <c r="I41" s="91">
        <f t="shared" si="7"/>
        <v>3930.6666666666633</v>
      </c>
      <c r="J41" s="92">
        <f t="shared" si="8"/>
        <v>2743.7666666666632</v>
      </c>
      <c r="K41" s="91">
        <f>500+'Saisie maison'!$C$13*6</f>
        <v>800</v>
      </c>
      <c r="L41" s="85">
        <f>1500+'Saisie maison'!$C$13*7</f>
        <v>1850</v>
      </c>
      <c r="M41" s="91">
        <f>500+'Saisie maison'!$C$14*6</f>
        <v>500</v>
      </c>
      <c r="N41" s="85">
        <f>1500+'Saisie maison'!$C$14*7</f>
        <v>1500</v>
      </c>
      <c r="O41" s="91">
        <f>500+'Saisie maison'!$C$15*6</f>
        <v>500</v>
      </c>
      <c r="P41" s="85">
        <f>1500+'Saisie maison'!$C$15*7</f>
        <v>1500</v>
      </c>
      <c r="Q41" s="91">
        <f>500+'Saisie maison'!$C$16*6</f>
        <v>500</v>
      </c>
      <c r="R41" s="85">
        <f>1500+'Saisie maison'!$C$16*7</f>
        <v>1500</v>
      </c>
      <c r="S41" s="91">
        <f>500+'Saisie maison'!$C$17*6</f>
        <v>500</v>
      </c>
      <c r="T41" s="85">
        <f>1500+'Saisie maison'!$C$17*7</f>
        <v>1500</v>
      </c>
      <c r="U41" s="93">
        <v>550</v>
      </c>
      <c r="V41" s="93">
        <f t="shared" si="9"/>
        <v>275</v>
      </c>
      <c r="W41" s="93">
        <v>0</v>
      </c>
      <c r="X41" s="93"/>
      <c r="Y41" s="93"/>
      <c r="Z41" s="93"/>
      <c r="AC41" s="21" t="s">
        <v>292</v>
      </c>
      <c r="AN41" s="85" t="s">
        <v>293</v>
      </c>
      <c r="AO41" s="85">
        <v>0.7</v>
      </c>
      <c r="AP41" s="85">
        <f>'Référence&amp;tarifs'!$B$25</f>
        <v>0.10199999999999999</v>
      </c>
      <c r="AQ41" s="85">
        <f>'Référence&amp;tarifs'!$B$25</f>
        <v>0.10199999999999999</v>
      </c>
      <c r="AR41" s="85">
        <f>'Référence&amp;tarifs'!$B$25</f>
        <v>0.10199999999999999</v>
      </c>
      <c r="AS41" s="85">
        <f>'Référence&amp;tarifs'!$B$25</f>
        <v>0.10199999999999999</v>
      </c>
      <c r="AT41" s="85">
        <f>'Référence&amp;tarifs'!$B$25</f>
        <v>0.10199999999999999</v>
      </c>
      <c r="AU41" s="85" t="s">
        <v>258</v>
      </c>
      <c r="AX41" s="21" t="s">
        <v>194</v>
      </c>
      <c r="AY41" s="136" t="e">
        <f>VLOOKUP('Saisie maison'!E17,'élts calculs lgt ind'!AX21:BJ34,11,0)</f>
        <v>#N/A</v>
      </c>
    </row>
    <row r="42" spans="1:62" x14ac:dyDescent="0.25">
      <c r="A42" s="85" t="s">
        <v>294</v>
      </c>
      <c r="B42" s="85">
        <v>34</v>
      </c>
      <c r="C42" s="85">
        <v>4284</v>
      </c>
      <c r="D42" s="85">
        <v>2853</v>
      </c>
      <c r="E42" s="91">
        <f t="shared" si="5"/>
        <v>4712.4000000000005</v>
      </c>
      <c r="F42" s="91">
        <f t="shared" si="6"/>
        <v>3138.3</v>
      </c>
      <c r="G42" s="91">
        <v>2895.6666666666702</v>
      </c>
      <c r="H42" s="91">
        <v>1870.6666666666699</v>
      </c>
      <c r="I42" s="91">
        <f t="shared" si="7"/>
        <v>3185.2333333333372</v>
      </c>
      <c r="J42" s="92">
        <f t="shared" si="8"/>
        <v>2057.7333333333372</v>
      </c>
      <c r="K42" s="91">
        <f>250+'Saisie maison'!$C$13*5</f>
        <v>500</v>
      </c>
      <c r="L42" s="85">
        <f>700+'Saisie maison'!$C$13*7</f>
        <v>1050</v>
      </c>
      <c r="M42" s="91">
        <f>250+'Saisie maison'!$C$14*5</f>
        <v>250</v>
      </c>
      <c r="N42" s="85">
        <f>700+'Saisie maison'!$C$14*7</f>
        <v>700</v>
      </c>
      <c r="O42" s="91">
        <f>250+'Saisie maison'!$C$15*5</f>
        <v>250</v>
      </c>
      <c r="P42" s="85">
        <f>700+'Saisie maison'!$C$15*7</f>
        <v>700</v>
      </c>
      <c r="Q42" s="91">
        <f>250+'Saisie maison'!$C$16*5</f>
        <v>250</v>
      </c>
      <c r="R42" s="85">
        <f>700+'Saisie maison'!$C$16*7</f>
        <v>700</v>
      </c>
      <c r="S42" s="91">
        <f>250+'Saisie maison'!$C$17*5</f>
        <v>250</v>
      </c>
      <c r="T42" s="85">
        <f>700+'Saisie maison'!$C$17*7</f>
        <v>700</v>
      </c>
      <c r="U42" s="93">
        <v>400</v>
      </c>
      <c r="V42" s="93">
        <f t="shared" si="9"/>
        <v>200</v>
      </c>
      <c r="W42" s="93">
        <v>0</v>
      </c>
      <c r="X42" s="93"/>
      <c r="Y42" s="93"/>
      <c r="Z42" s="93"/>
      <c r="AC42" s="21" t="s">
        <v>89</v>
      </c>
      <c r="AN42" s="85" t="s">
        <v>295</v>
      </c>
      <c r="AO42" s="85">
        <v>0.8</v>
      </c>
      <c r="AP42" s="85">
        <f>AO15</f>
        <v>7.8899999999999998E-2</v>
      </c>
      <c r="AQ42" s="85" t="e">
        <f>AO16</f>
        <v>#N/A</v>
      </c>
      <c r="AR42" s="85" t="e">
        <f>AO17</f>
        <v>#N/A</v>
      </c>
      <c r="AS42" s="85" t="e">
        <f>AO18</f>
        <v>#N/A</v>
      </c>
      <c r="AT42" s="85" t="e">
        <f>AO19</f>
        <v>#N/A</v>
      </c>
      <c r="AU42" s="85" t="s">
        <v>261</v>
      </c>
    </row>
    <row r="43" spans="1:62" x14ac:dyDescent="0.25">
      <c r="A43" s="85" t="s">
        <v>296</v>
      </c>
      <c r="B43" s="85">
        <v>68</v>
      </c>
      <c r="C43" s="85">
        <v>7542</v>
      </c>
      <c r="D43" s="85">
        <v>5527</v>
      </c>
      <c r="E43" s="91">
        <f t="shared" si="5"/>
        <v>8296.2000000000007</v>
      </c>
      <c r="F43" s="91">
        <f t="shared" si="6"/>
        <v>6079.7000000000007</v>
      </c>
      <c r="G43" s="91">
        <v>5596.6666666666697</v>
      </c>
      <c r="H43" s="91">
        <v>4132.6666666666697</v>
      </c>
      <c r="I43" s="91">
        <f t="shared" si="7"/>
        <v>6156.3333333333376</v>
      </c>
      <c r="J43" s="92">
        <f t="shared" si="8"/>
        <v>4545.933333333337</v>
      </c>
      <c r="K43" s="91">
        <f>600+'Saisie maison'!$C$13*7</f>
        <v>950</v>
      </c>
      <c r="L43" s="91">
        <f>1800+'Saisie maison'!$C$13*7</f>
        <v>2150</v>
      </c>
      <c r="M43" s="91">
        <f>600+'Saisie maison'!$C$14*7</f>
        <v>600</v>
      </c>
      <c r="N43" s="91">
        <f>1800+'Saisie maison'!$C$14*7</f>
        <v>1800</v>
      </c>
      <c r="O43" s="91">
        <f>600+'Saisie maison'!$C$15*7</f>
        <v>600</v>
      </c>
      <c r="P43" s="91">
        <f>1800+'Saisie maison'!$C$15*7</f>
        <v>1800</v>
      </c>
      <c r="Q43" s="91">
        <f>600+'Saisie maison'!$C$16*7</f>
        <v>600</v>
      </c>
      <c r="R43" s="91">
        <f>1800+'Saisie maison'!$C$16*7</f>
        <v>1800</v>
      </c>
      <c r="S43" s="91">
        <f>600+'Saisie maison'!$C$17*7</f>
        <v>600</v>
      </c>
      <c r="T43" s="91">
        <f>1800+'Saisie maison'!$C$17*7</f>
        <v>1800</v>
      </c>
      <c r="U43" s="93">
        <v>700</v>
      </c>
      <c r="V43" s="93">
        <f t="shared" si="9"/>
        <v>350</v>
      </c>
      <c r="W43" s="93">
        <v>0</v>
      </c>
      <c r="X43" s="93"/>
      <c r="Y43" s="93"/>
      <c r="Z43" s="93"/>
      <c r="AN43" s="85" t="s">
        <v>297</v>
      </c>
      <c r="AO43" s="85">
        <v>0.9</v>
      </c>
      <c r="AP43" s="85">
        <f>AO15</f>
        <v>7.8899999999999998E-2</v>
      </c>
      <c r="AQ43" s="85" t="e">
        <f>AO16</f>
        <v>#N/A</v>
      </c>
      <c r="AR43" s="85" t="e">
        <f>AO17</f>
        <v>#N/A</v>
      </c>
      <c r="AS43" s="85" t="e">
        <f>AO18</f>
        <v>#N/A</v>
      </c>
      <c r="AT43" s="85" t="e">
        <f>AO19</f>
        <v>#N/A</v>
      </c>
      <c r="AU43" s="85" t="s">
        <v>261</v>
      </c>
    </row>
    <row r="44" spans="1:62" x14ac:dyDescent="0.25">
      <c r="A44" s="85" t="s">
        <v>298</v>
      </c>
      <c r="B44" s="85">
        <v>54</v>
      </c>
      <c r="C44" s="85">
        <v>7861</v>
      </c>
      <c r="D44" s="85">
        <v>5784</v>
      </c>
      <c r="E44" s="91">
        <f t="shared" si="5"/>
        <v>8647.1</v>
      </c>
      <c r="F44" s="91">
        <f t="shared" si="6"/>
        <v>6362.4000000000005</v>
      </c>
      <c r="G44" s="91">
        <v>5847.3333333333303</v>
      </c>
      <c r="H44" s="91">
        <v>4334.6666666666697</v>
      </c>
      <c r="I44" s="91">
        <f t="shared" si="7"/>
        <v>6432.0666666666639</v>
      </c>
      <c r="J44" s="92">
        <f t="shared" si="8"/>
        <v>4768.1333333333369</v>
      </c>
      <c r="K44" s="91">
        <f>600+'Saisie maison'!$C$13*7</f>
        <v>950</v>
      </c>
      <c r="L44" s="91">
        <f>1800+'Saisie maison'!$C$13*7</f>
        <v>2150</v>
      </c>
      <c r="M44" s="91">
        <f>600+'Saisie maison'!$C$14*7</f>
        <v>600</v>
      </c>
      <c r="N44" s="91">
        <f>1800+'Saisie maison'!$C$14*7</f>
        <v>1800</v>
      </c>
      <c r="O44" s="91">
        <f>600+'Saisie maison'!$C$15*7</f>
        <v>600</v>
      </c>
      <c r="P44" s="91">
        <f>1800+'Saisie maison'!$C$15*7</f>
        <v>1800</v>
      </c>
      <c r="Q44" s="91">
        <f>600+'Saisie maison'!$C$16*7</f>
        <v>600</v>
      </c>
      <c r="R44" s="91">
        <f>1800+'Saisie maison'!$C$16*7</f>
        <v>1800</v>
      </c>
      <c r="S44" s="91">
        <f>600+'Saisie maison'!$C$17*7</f>
        <v>600</v>
      </c>
      <c r="T44" s="91">
        <f>1800+'Saisie maison'!$C$17*7</f>
        <v>1800</v>
      </c>
      <c r="U44" s="93">
        <v>700</v>
      </c>
      <c r="V44" s="93">
        <f t="shared" si="9"/>
        <v>350</v>
      </c>
      <c r="W44" s="93">
        <v>0</v>
      </c>
      <c r="X44" s="93"/>
      <c r="Y44" s="93"/>
      <c r="Z44" s="93"/>
      <c r="AN44" s="85" t="s">
        <v>299</v>
      </c>
      <c r="AO44" s="85">
        <v>0.72</v>
      </c>
      <c r="AP44" s="85">
        <f>AO15</f>
        <v>7.8899999999999998E-2</v>
      </c>
      <c r="AQ44" s="85" t="e">
        <f>AO16</f>
        <v>#N/A</v>
      </c>
      <c r="AR44" s="85" t="e">
        <f>AO17</f>
        <v>#N/A</v>
      </c>
      <c r="AS44" s="85" t="e">
        <f>AO18</f>
        <v>#N/A</v>
      </c>
      <c r="AT44" s="85" t="e">
        <f>AO19</f>
        <v>#N/A</v>
      </c>
      <c r="AU44" s="85" t="s">
        <v>261</v>
      </c>
    </row>
    <row r="45" spans="1:62" x14ac:dyDescent="0.25">
      <c r="A45" s="85" t="s">
        <v>300</v>
      </c>
      <c r="B45" s="85">
        <v>44</v>
      </c>
      <c r="C45" s="85">
        <v>5426</v>
      </c>
      <c r="D45" s="85">
        <v>3762</v>
      </c>
      <c r="E45" s="91">
        <f t="shared" si="5"/>
        <v>5968.6</v>
      </c>
      <c r="F45" s="91">
        <f t="shared" si="6"/>
        <v>4138.2000000000007</v>
      </c>
      <c r="G45" s="91">
        <v>3811.6666666666702</v>
      </c>
      <c r="H45" s="91">
        <v>2660.3333333333298</v>
      </c>
      <c r="I45" s="91">
        <f t="shared" si="7"/>
        <v>4192.8333333333376</v>
      </c>
      <c r="J45" s="92">
        <f t="shared" si="8"/>
        <v>2926.3666666666631</v>
      </c>
      <c r="K45" s="91">
        <f>500+'Saisie maison'!$C$13*6</f>
        <v>800</v>
      </c>
      <c r="L45" s="85">
        <f>1400+'Saisie maison'!$C$13*7</f>
        <v>1750</v>
      </c>
      <c r="M45" s="91">
        <f>500+'Saisie maison'!$C$14*6</f>
        <v>500</v>
      </c>
      <c r="N45" s="85">
        <f>1400+'Saisie maison'!$C$14*7</f>
        <v>1400</v>
      </c>
      <c r="O45" s="91">
        <f>500+'Saisie maison'!$C$15*6</f>
        <v>500</v>
      </c>
      <c r="P45" s="85">
        <f>1400+'Saisie maison'!$C$15*7</f>
        <v>1400</v>
      </c>
      <c r="Q45" s="91">
        <f>500+'Saisie maison'!$C$16*6</f>
        <v>500</v>
      </c>
      <c r="R45" s="85">
        <f>1400+'Saisie maison'!$C$16*7</f>
        <v>1400</v>
      </c>
      <c r="S45" s="91">
        <f>500+'Saisie maison'!$C$17*6</f>
        <v>500</v>
      </c>
      <c r="T45" s="85">
        <f>1400+'Saisie maison'!$C$17*7</f>
        <v>1400</v>
      </c>
      <c r="U45" s="93">
        <v>550</v>
      </c>
      <c r="V45" s="93">
        <f t="shared" si="9"/>
        <v>275</v>
      </c>
      <c r="W45" s="93">
        <v>0</v>
      </c>
      <c r="X45" s="93"/>
      <c r="AN45" s="112" t="s">
        <v>301</v>
      </c>
      <c r="AO45" s="85">
        <v>0.8</v>
      </c>
      <c r="AP45" s="137">
        <f>0.8*AP$37+0.2*AO6</f>
        <v>6.7140000000000005E-2</v>
      </c>
      <c r="AQ45" s="137" t="e">
        <f>0.8*AP$37+0.2*AO7</f>
        <v>#N/A</v>
      </c>
      <c r="AR45" s="137" t="e">
        <f>0.8*AP$37+0.2*AO8</f>
        <v>#N/A</v>
      </c>
      <c r="AS45" s="137" t="e">
        <f>0.8*$AP$37+0.2*AO9</f>
        <v>#N/A</v>
      </c>
      <c r="AT45" s="85" t="e">
        <f>0.8*$AP$37+0.2*AO10</f>
        <v>#N/A</v>
      </c>
      <c r="AU45" s="85" t="s">
        <v>239</v>
      </c>
    </row>
    <row r="46" spans="1:62" x14ac:dyDescent="0.25">
      <c r="A46" s="85" t="s">
        <v>302</v>
      </c>
      <c r="B46" s="85">
        <v>58</v>
      </c>
      <c r="C46" s="85">
        <v>7464</v>
      </c>
      <c r="D46" s="85">
        <v>5348</v>
      </c>
      <c r="E46" s="91">
        <f t="shared" si="5"/>
        <v>8210.4000000000015</v>
      </c>
      <c r="F46" s="91">
        <f t="shared" si="6"/>
        <v>5882.8</v>
      </c>
      <c r="G46" s="91">
        <v>5411.6666666666697</v>
      </c>
      <c r="H46" s="91">
        <v>3874.3333333333298</v>
      </c>
      <c r="I46" s="91">
        <f t="shared" si="7"/>
        <v>5952.8333333333376</v>
      </c>
      <c r="J46" s="92">
        <f t="shared" si="8"/>
        <v>4261.7666666666628</v>
      </c>
      <c r="K46" s="125">
        <f>500+'Saisie maison'!$C$13*6</f>
        <v>800</v>
      </c>
      <c r="L46" s="85">
        <f>1500+'Saisie maison'!$C$13*7</f>
        <v>1850</v>
      </c>
      <c r="M46" s="125">
        <f>500+'Saisie maison'!$C$14*6</f>
        <v>500</v>
      </c>
      <c r="N46" s="85">
        <f>1500+'Saisie maison'!$C$14*7</f>
        <v>1500</v>
      </c>
      <c r="O46" s="125">
        <f>500+'Saisie maison'!$C$15*6</f>
        <v>500</v>
      </c>
      <c r="P46" s="85">
        <f>1500+'Saisie maison'!$C$15*7</f>
        <v>1500</v>
      </c>
      <c r="Q46" s="91">
        <f>500+'Saisie maison'!$C$16*6</f>
        <v>500</v>
      </c>
      <c r="R46" s="85">
        <f>1500+'Saisie maison'!$C$16*7</f>
        <v>1500</v>
      </c>
      <c r="S46" s="91">
        <f>500+'Saisie maison'!$C$17*6</f>
        <v>500</v>
      </c>
      <c r="T46" s="85">
        <f>1500+'Saisie maison'!$C$17*7</f>
        <v>1500</v>
      </c>
      <c r="U46" s="93">
        <v>550</v>
      </c>
      <c r="V46" s="93">
        <f t="shared" si="9"/>
        <v>275</v>
      </c>
      <c r="W46" s="93">
        <v>0</v>
      </c>
      <c r="X46" s="93"/>
      <c r="AN46" s="85" t="s">
        <v>303</v>
      </c>
      <c r="AO46" s="85">
        <v>1.69</v>
      </c>
      <c r="AP46" s="85">
        <f>AO6</f>
        <v>0.15570000000000001</v>
      </c>
      <c r="AQ46" s="85" t="e">
        <f>$AO$7</f>
        <v>#N/A</v>
      </c>
      <c r="AR46" s="85" t="e">
        <f>$AO$8</f>
        <v>#N/A</v>
      </c>
      <c r="AS46" s="85" t="e">
        <f>$AO$9</f>
        <v>#N/A</v>
      </c>
      <c r="AT46" s="85" t="e">
        <f>$AO$10</f>
        <v>#N/A</v>
      </c>
      <c r="AU46" s="85" t="s">
        <v>239</v>
      </c>
    </row>
    <row r="47" spans="1:62" x14ac:dyDescent="0.25">
      <c r="A47" s="85" t="s">
        <v>304</v>
      </c>
      <c r="B47" s="85">
        <v>6</v>
      </c>
      <c r="C47" s="85">
        <v>2982</v>
      </c>
      <c r="D47" s="85">
        <v>1848</v>
      </c>
      <c r="E47" s="91">
        <f t="shared" si="5"/>
        <v>3280.2000000000003</v>
      </c>
      <c r="F47" s="91">
        <f t="shared" si="6"/>
        <v>2032.8000000000002</v>
      </c>
      <c r="G47" s="91">
        <v>1883</v>
      </c>
      <c r="H47" s="91">
        <v>1096.6666666666699</v>
      </c>
      <c r="I47" s="91">
        <f t="shared" si="7"/>
        <v>2071.3000000000002</v>
      </c>
      <c r="J47" s="92">
        <f t="shared" si="8"/>
        <v>1206.3333333333371</v>
      </c>
      <c r="K47" s="91">
        <f>250+'Saisie maison'!$C$13*5</f>
        <v>500</v>
      </c>
      <c r="L47" s="85">
        <f>700+'Saisie maison'!$C$13*7</f>
        <v>1050</v>
      </c>
      <c r="M47" s="91">
        <f>250+'Saisie maison'!$C$14*5</f>
        <v>250</v>
      </c>
      <c r="N47" s="85">
        <f>700+'Saisie maison'!$C$14*7</f>
        <v>700</v>
      </c>
      <c r="O47" s="91">
        <f>250+'Saisie maison'!$C$15*5</f>
        <v>250</v>
      </c>
      <c r="P47" s="85">
        <f>700+'Saisie maison'!$C$15*7</f>
        <v>700</v>
      </c>
      <c r="Q47" s="91">
        <f>250+'Saisie maison'!$C$16*5</f>
        <v>250</v>
      </c>
      <c r="R47" s="85">
        <f>700+'Saisie maison'!$C$16*7</f>
        <v>700</v>
      </c>
      <c r="S47" s="91">
        <f>250+'Saisie maison'!$C$17*5</f>
        <v>250</v>
      </c>
      <c r="T47" s="85">
        <f>700+'Saisie maison'!$C$17*7</f>
        <v>700</v>
      </c>
      <c r="U47" s="93">
        <v>400</v>
      </c>
      <c r="V47" s="93">
        <f t="shared" si="9"/>
        <v>200</v>
      </c>
      <c r="W47" s="93">
        <v>0</v>
      </c>
      <c r="X47" s="93"/>
      <c r="AN47" s="85" t="s">
        <v>305</v>
      </c>
      <c r="AO47" s="85">
        <v>2.2000000000000002</v>
      </c>
      <c r="AP47" s="85">
        <f>AO6</f>
        <v>0.15570000000000001</v>
      </c>
      <c r="AQ47" s="85" t="e">
        <f>$AO$7</f>
        <v>#N/A</v>
      </c>
      <c r="AR47" s="85" t="e">
        <f>$AO$8</f>
        <v>#N/A</v>
      </c>
      <c r="AS47" s="85" t="e">
        <f>$AO$9</f>
        <v>#N/A</v>
      </c>
      <c r="AT47" s="85" t="e">
        <f>$AO$10</f>
        <v>#N/A</v>
      </c>
      <c r="AU47" s="85" t="s">
        <v>239</v>
      </c>
    </row>
    <row r="48" spans="1:62" x14ac:dyDescent="0.25">
      <c r="A48" s="85" t="s">
        <v>306</v>
      </c>
      <c r="B48" s="85">
        <v>30</v>
      </c>
      <c r="C48" s="85">
        <v>4414</v>
      </c>
      <c r="D48" s="85">
        <v>2966</v>
      </c>
      <c r="E48" s="91">
        <f t="shared" si="5"/>
        <v>4855.4000000000005</v>
      </c>
      <c r="F48" s="91">
        <f t="shared" si="6"/>
        <v>3262.6000000000004</v>
      </c>
      <c r="G48" s="91">
        <v>3008.6666666666702</v>
      </c>
      <c r="H48" s="91">
        <v>1961.3333333333301</v>
      </c>
      <c r="I48" s="91">
        <f t="shared" si="7"/>
        <v>3309.5333333333374</v>
      </c>
      <c r="J48" s="92">
        <f t="shared" si="8"/>
        <v>2157.4666666666631</v>
      </c>
      <c r="K48" s="91">
        <f>250+'Saisie maison'!$C$13*5</f>
        <v>500</v>
      </c>
      <c r="L48" s="85">
        <f>700+'Saisie maison'!$C$13*7</f>
        <v>1050</v>
      </c>
      <c r="M48" s="91">
        <f>250+'Saisie maison'!$C$14*5</f>
        <v>250</v>
      </c>
      <c r="N48" s="85">
        <f>700+'Saisie maison'!$C$14*7</f>
        <v>700</v>
      </c>
      <c r="O48" s="91">
        <f>250+'Saisie maison'!$C$15*5</f>
        <v>250</v>
      </c>
      <c r="P48" s="85">
        <f>700+'Saisie maison'!$C$15*7</f>
        <v>700</v>
      </c>
      <c r="Q48" s="91">
        <f>250+'Saisie maison'!$C$16*5</f>
        <v>250</v>
      </c>
      <c r="R48" s="85">
        <f>700+'Saisie maison'!$C$16*7</f>
        <v>700</v>
      </c>
      <c r="S48" s="91">
        <f>250+'Saisie maison'!$C$17*5</f>
        <v>250</v>
      </c>
      <c r="T48" s="85">
        <f>700+'Saisie maison'!$C$17*7</f>
        <v>700</v>
      </c>
      <c r="U48" s="93">
        <v>400</v>
      </c>
      <c r="V48" s="93">
        <f t="shared" si="9"/>
        <v>200</v>
      </c>
      <c r="W48" s="93">
        <v>0</v>
      </c>
      <c r="X48" s="93"/>
      <c r="AN48" s="85" t="s">
        <v>307</v>
      </c>
      <c r="AO48" s="85">
        <v>2.1</v>
      </c>
      <c r="AP48" s="85">
        <f>AO6</f>
        <v>0.15570000000000001</v>
      </c>
      <c r="AQ48" s="85" t="e">
        <f>$AO$7</f>
        <v>#N/A</v>
      </c>
      <c r="AR48" s="85" t="e">
        <f>$AO$8</f>
        <v>#N/A</v>
      </c>
      <c r="AS48" s="85" t="e">
        <f>$AO$9</f>
        <v>#N/A</v>
      </c>
      <c r="AT48" s="85" t="e">
        <f>$AO$10</f>
        <v>#N/A</v>
      </c>
      <c r="AU48" s="85" t="s">
        <v>239</v>
      </c>
    </row>
    <row r="49" spans="1:47" x14ac:dyDescent="0.25">
      <c r="A49" s="85" t="s">
        <v>308</v>
      </c>
      <c r="B49" s="85">
        <v>84</v>
      </c>
      <c r="C49" s="85">
        <v>5168</v>
      </c>
      <c r="D49" s="85">
        <v>3514</v>
      </c>
      <c r="E49" s="91">
        <f t="shared" si="5"/>
        <v>5684.8</v>
      </c>
      <c r="F49" s="91">
        <f t="shared" si="6"/>
        <v>3865.4</v>
      </c>
      <c r="G49" s="91">
        <v>3560.3333333333298</v>
      </c>
      <c r="H49" s="91">
        <v>2412</v>
      </c>
      <c r="I49" s="91">
        <f t="shared" si="7"/>
        <v>3916.3666666666631</v>
      </c>
      <c r="J49" s="92">
        <f t="shared" si="8"/>
        <v>2653.2000000000003</v>
      </c>
      <c r="K49" s="91">
        <f>250+'Saisie maison'!$C$13*5</f>
        <v>500</v>
      </c>
      <c r="L49" s="85">
        <f>700+'Saisie maison'!$C$13*7</f>
        <v>1050</v>
      </c>
      <c r="M49" s="91">
        <f>250+'Saisie maison'!$C$14*5</f>
        <v>250</v>
      </c>
      <c r="N49" s="85">
        <f>700+'Saisie maison'!$C$14*7</f>
        <v>700</v>
      </c>
      <c r="O49" s="91">
        <f>250+'Saisie maison'!$C$15*5</f>
        <v>250</v>
      </c>
      <c r="P49" s="85">
        <f>700+'Saisie maison'!$C$15*7</f>
        <v>700</v>
      </c>
      <c r="Q49" s="91">
        <f>250+'Saisie maison'!$C$16*5</f>
        <v>250</v>
      </c>
      <c r="R49" s="85">
        <f>700+'Saisie maison'!$C$16*7</f>
        <v>700</v>
      </c>
      <c r="S49" s="91">
        <f>250+'Saisie maison'!$C$17*5</f>
        <v>250</v>
      </c>
      <c r="T49" s="85">
        <f>700+'Saisie maison'!$C$17*7</f>
        <v>700</v>
      </c>
      <c r="U49" s="93">
        <v>400</v>
      </c>
      <c r="V49" s="93">
        <f t="shared" si="9"/>
        <v>200</v>
      </c>
      <c r="W49" s="93">
        <v>0</v>
      </c>
      <c r="X49" s="93"/>
      <c r="AN49" s="85" t="s">
        <v>309</v>
      </c>
      <c r="AO49" s="85">
        <v>1.8</v>
      </c>
      <c r="AP49" s="85">
        <f>AO6</f>
        <v>0.15570000000000001</v>
      </c>
      <c r="AQ49" s="85" t="e">
        <f>$AO$7</f>
        <v>#N/A</v>
      </c>
      <c r="AR49" s="85" t="e">
        <f>$AO$8</f>
        <v>#N/A</v>
      </c>
      <c r="AS49" s="85" t="e">
        <f>$AO$9</f>
        <v>#N/A</v>
      </c>
      <c r="AT49" s="85" t="e">
        <f>$AO$10</f>
        <v>#N/A</v>
      </c>
      <c r="AU49" s="85" t="s">
        <v>239</v>
      </c>
    </row>
    <row r="50" spans="1:47" x14ac:dyDescent="0.25">
      <c r="A50" s="85" t="s">
        <v>310</v>
      </c>
      <c r="B50" s="85">
        <v>45</v>
      </c>
      <c r="C50" s="85">
        <v>7221</v>
      </c>
      <c r="D50" s="85">
        <v>5168</v>
      </c>
      <c r="E50" s="91">
        <f t="shared" si="5"/>
        <v>7943.1</v>
      </c>
      <c r="F50" s="91">
        <f t="shared" si="6"/>
        <v>5684.8</v>
      </c>
      <c r="G50" s="91">
        <v>5230.3333333333303</v>
      </c>
      <c r="H50" s="91">
        <v>3737</v>
      </c>
      <c r="I50" s="91">
        <f t="shared" si="7"/>
        <v>5753.3666666666641</v>
      </c>
      <c r="J50" s="92">
        <f t="shared" si="8"/>
        <v>4110.7000000000007</v>
      </c>
      <c r="K50" s="91">
        <f>500+'Saisie maison'!$C$13*6</f>
        <v>800</v>
      </c>
      <c r="L50" s="85">
        <f>1500+'Saisie maison'!$C$13*7</f>
        <v>1850</v>
      </c>
      <c r="M50" s="91">
        <f>500+'Saisie maison'!$C$14*6</f>
        <v>500</v>
      </c>
      <c r="N50" s="85">
        <f>1500+'Saisie maison'!$C$14*7</f>
        <v>1500</v>
      </c>
      <c r="O50" s="91">
        <f>500+'Saisie maison'!$C$15*6</f>
        <v>500</v>
      </c>
      <c r="P50" s="85">
        <f>1500+'Saisie maison'!$C$15*7</f>
        <v>1500</v>
      </c>
      <c r="Q50" s="91">
        <f>500+'Saisie maison'!$C$16*6</f>
        <v>500</v>
      </c>
      <c r="R50" s="85">
        <f>1500+'Saisie maison'!$C$16*7</f>
        <v>1500</v>
      </c>
      <c r="S50" s="91">
        <f>500+'Saisie maison'!$C$17*6</f>
        <v>500</v>
      </c>
      <c r="T50" s="85">
        <f>1500+'Saisie maison'!$C$17*7</f>
        <v>1500</v>
      </c>
      <c r="U50" s="93">
        <v>550</v>
      </c>
      <c r="V50" s="93">
        <f t="shared" si="9"/>
        <v>275</v>
      </c>
      <c r="W50" s="93">
        <v>0</v>
      </c>
      <c r="X50" s="93"/>
      <c r="AN50" s="85" t="s">
        <v>311</v>
      </c>
      <c r="AO50" s="85">
        <v>0.95</v>
      </c>
      <c r="AP50" s="85">
        <f>AO6</f>
        <v>0.15570000000000001</v>
      </c>
      <c r="AQ50" s="85" t="e">
        <f>$AO$7</f>
        <v>#N/A</v>
      </c>
      <c r="AR50" s="85" t="e">
        <f>$AO$8</f>
        <v>#N/A</v>
      </c>
      <c r="AS50" s="85" t="e">
        <f>$AO$9</f>
        <v>#N/A</v>
      </c>
      <c r="AT50" s="85" t="e">
        <f>$AO$10</f>
        <v>#N/A</v>
      </c>
      <c r="AU50" s="85" t="s">
        <v>239</v>
      </c>
    </row>
    <row r="51" spans="1:47" x14ac:dyDescent="0.25">
      <c r="A51" s="85" t="s">
        <v>312</v>
      </c>
      <c r="B51" s="85">
        <v>75</v>
      </c>
      <c r="C51" s="85">
        <v>6661</v>
      </c>
      <c r="D51" s="85">
        <v>4380</v>
      </c>
      <c r="E51" s="91">
        <f t="shared" si="5"/>
        <v>7327.1</v>
      </c>
      <c r="F51" s="91">
        <f t="shared" si="6"/>
        <v>4818</v>
      </c>
      <c r="G51" s="91">
        <v>4435.6666666666697</v>
      </c>
      <c r="H51" s="91">
        <v>3157.3333333333298</v>
      </c>
      <c r="I51" s="91">
        <f t="shared" si="7"/>
        <v>4879.2333333333372</v>
      </c>
      <c r="J51" s="92">
        <f t="shared" si="8"/>
        <v>3473.066666666663</v>
      </c>
      <c r="K51" s="91">
        <f>500+'Saisie maison'!$C$13*6</f>
        <v>800</v>
      </c>
      <c r="L51" s="85">
        <f>1700+'Saisie maison'!$C$13*7</f>
        <v>2050</v>
      </c>
      <c r="M51" s="91">
        <f>500+'Saisie maison'!$C$14*6</f>
        <v>500</v>
      </c>
      <c r="N51" s="85">
        <f>1700+'Saisie maison'!$C$14*7</f>
        <v>1700</v>
      </c>
      <c r="O51" s="91">
        <f>500+'Saisie maison'!$C$15*6</f>
        <v>500</v>
      </c>
      <c r="P51" s="85">
        <f>1700+'Saisie maison'!$C$15*7</f>
        <v>1700</v>
      </c>
      <c r="Q51" s="91">
        <f>500+'Saisie maison'!$C$16*6</f>
        <v>500</v>
      </c>
      <c r="R51" s="85">
        <f>1700+'Saisie maison'!$C$16*7</f>
        <v>1700</v>
      </c>
      <c r="S51" s="91">
        <f>500+'Saisie maison'!$C$17*6</f>
        <v>500</v>
      </c>
      <c r="T51" s="85">
        <f>1700+'Saisie maison'!$C$17*7</f>
        <v>1700</v>
      </c>
      <c r="U51" s="93">
        <v>550</v>
      </c>
      <c r="V51" s="93">
        <f t="shared" si="9"/>
        <v>275</v>
      </c>
      <c r="W51" s="93">
        <v>0</v>
      </c>
      <c r="X51" s="93"/>
      <c r="AN51" s="85" t="s">
        <v>313</v>
      </c>
      <c r="AO51" s="85">
        <v>0.8</v>
      </c>
      <c r="AP51" s="85">
        <f>$AP$37</f>
        <v>4.4999999999999998E-2</v>
      </c>
      <c r="AQ51" s="85">
        <f>$AP$37</f>
        <v>4.4999999999999998E-2</v>
      </c>
      <c r="AR51" s="85">
        <f>$AP$37</f>
        <v>4.4999999999999998E-2</v>
      </c>
      <c r="AS51" s="85">
        <f>$AP$37</f>
        <v>4.4999999999999998E-2</v>
      </c>
      <c r="AT51" s="85">
        <f>$AP$37</f>
        <v>4.4999999999999998E-2</v>
      </c>
      <c r="AU51" s="85" t="s">
        <v>282</v>
      </c>
    </row>
    <row r="52" spans="1:47" x14ac:dyDescent="0.25">
      <c r="A52" s="85" t="s">
        <v>314</v>
      </c>
      <c r="B52" s="85">
        <v>64</v>
      </c>
      <c r="C52" s="85">
        <v>4548</v>
      </c>
      <c r="D52" s="85">
        <v>3115</v>
      </c>
      <c r="E52" s="91">
        <f t="shared" si="5"/>
        <v>5002.8</v>
      </c>
      <c r="F52" s="91">
        <f t="shared" si="6"/>
        <v>3426.5000000000005</v>
      </c>
      <c r="G52" s="91">
        <v>3159</v>
      </c>
      <c r="H52" s="91">
        <v>2140.6666666666702</v>
      </c>
      <c r="I52" s="91">
        <f t="shared" si="7"/>
        <v>3474.9</v>
      </c>
      <c r="J52" s="92">
        <f t="shared" si="8"/>
        <v>2354.7333333333372</v>
      </c>
      <c r="K52" s="91">
        <f>250+'Saisie maison'!$C$13*5</f>
        <v>500</v>
      </c>
      <c r="L52" s="85">
        <f>700+'Saisie maison'!$C$13*7</f>
        <v>1050</v>
      </c>
      <c r="M52" s="91">
        <f>250+'Saisie maison'!$C$14*5</f>
        <v>250</v>
      </c>
      <c r="N52" s="85">
        <f>700+'Saisie maison'!$C$14*7</f>
        <v>700</v>
      </c>
      <c r="O52" s="91">
        <f>250+'Saisie maison'!$C$15*5</f>
        <v>250</v>
      </c>
      <c r="P52" s="85">
        <f>700+'Saisie maison'!$C$15*7</f>
        <v>700</v>
      </c>
      <c r="Q52" s="91">
        <f>250+'Saisie maison'!$C$16*5</f>
        <v>250</v>
      </c>
      <c r="R52" s="85">
        <f>700+'Saisie maison'!$C$16*7</f>
        <v>700</v>
      </c>
      <c r="S52" s="91">
        <f>250+'Saisie maison'!$C$17*5</f>
        <v>250</v>
      </c>
      <c r="T52" s="85">
        <f>700+'Saisie maison'!$C$17*7</f>
        <v>700</v>
      </c>
      <c r="U52" s="93">
        <v>400</v>
      </c>
      <c r="V52" s="93">
        <f t="shared" si="9"/>
        <v>200</v>
      </c>
      <c r="W52" s="93">
        <v>0</v>
      </c>
      <c r="X52" s="93"/>
      <c r="AN52" s="85" t="s">
        <v>315</v>
      </c>
      <c r="AO52" s="85">
        <v>0.85</v>
      </c>
      <c r="AP52" s="85">
        <f>$AP$38</f>
        <v>7.3999999999999996E-2</v>
      </c>
      <c r="AQ52" s="85">
        <f>$AP$38</f>
        <v>7.3999999999999996E-2</v>
      </c>
      <c r="AR52" s="85">
        <f>$AP$38</f>
        <v>7.3999999999999996E-2</v>
      </c>
      <c r="AS52" s="85">
        <f>$AP$38</f>
        <v>7.3999999999999996E-2</v>
      </c>
      <c r="AT52" s="85">
        <f>$AP$38</f>
        <v>7.3999999999999996E-2</v>
      </c>
      <c r="AU52" s="85" t="s">
        <v>282</v>
      </c>
    </row>
    <row r="53" spans="1:47" x14ac:dyDescent="0.25">
      <c r="A53" s="85" t="s">
        <v>316</v>
      </c>
      <c r="B53" s="85">
        <v>66</v>
      </c>
      <c r="C53" s="85">
        <v>3292</v>
      </c>
      <c r="D53" s="85">
        <v>2090</v>
      </c>
      <c r="E53" s="91">
        <f t="shared" si="5"/>
        <v>3621.2000000000003</v>
      </c>
      <c r="F53" s="91">
        <f t="shared" si="6"/>
        <v>2299</v>
      </c>
      <c r="G53" s="91">
        <v>2127</v>
      </c>
      <c r="H53" s="91">
        <v>1280.3333333333301</v>
      </c>
      <c r="I53" s="91">
        <f t="shared" si="7"/>
        <v>2339.7000000000003</v>
      </c>
      <c r="J53" s="92">
        <f t="shared" si="8"/>
        <v>1408.3666666666631</v>
      </c>
      <c r="K53" s="91">
        <f>250+'Saisie maison'!$C$13*5</f>
        <v>500</v>
      </c>
      <c r="L53" s="85">
        <f>700+'Saisie maison'!$C$13*7</f>
        <v>1050</v>
      </c>
      <c r="M53" s="91">
        <f>250+'Saisie maison'!$C$14*5</f>
        <v>250</v>
      </c>
      <c r="N53" s="85">
        <f>700+'Saisie maison'!$C$14*7</f>
        <v>700</v>
      </c>
      <c r="O53" s="91">
        <f>250+'Saisie maison'!$C$15*5</f>
        <v>250</v>
      </c>
      <c r="P53" s="85">
        <f>700+'Saisie maison'!$C$15*7</f>
        <v>700</v>
      </c>
      <c r="Q53" s="91">
        <f>250+'Saisie maison'!$C$16*5</f>
        <v>250</v>
      </c>
      <c r="R53" s="85">
        <f>700+'Saisie maison'!$C$16*7</f>
        <v>700</v>
      </c>
      <c r="S53" s="91">
        <f>250+'Saisie maison'!$C$17*5</f>
        <v>250</v>
      </c>
      <c r="T53" s="85">
        <f>700+'Saisie maison'!$C$17*7</f>
        <v>700</v>
      </c>
      <c r="U53" s="93">
        <v>400</v>
      </c>
      <c r="V53" s="93">
        <f t="shared" si="9"/>
        <v>200</v>
      </c>
      <c r="W53" s="93">
        <v>0</v>
      </c>
      <c r="X53" s="93"/>
      <c r="AN53" s="85" t="s">
        <v>317</v>
      </c>
      <c r="AO53" s="85">
        <v>0.9</v>
      </c>
      <c r="AP53" s="85">
        <f>$AO$6</f>
        <v>0.15570000000000001</v>
      </c>
      <c r="AQ53" s="85" t="e">
        <f>$AO$7</f>
        <v>#N/A</v>
      </c>
      <c r="AR53" s="85" t="e">
        <f>$AO$8</f>
        <v>#N/A</v>
      </c>
      <c r="AS53" s="85" t="e">
        <f>$AO$9</f>
        <v>#N/A</v>
      </c>
      <c r="AT53" s="85" t="e">
        <f>$AO$10</f>
        <v>#N/A</v>
      </c>
      <c r="AU53" s="85" t="s">
        <v>239</v>
      </c>
    </row>
    <row r="54" spans="1:47" x14ac:dyDescent="0.25">
      <c r="A54" s="85" t="s">
        <v>318</v>
      </c>
      <c r="B54" s="85">
        <v>86</v>
      </c>
      <c r="C54" s="85">
        <v>6297</v>
      </c>
      <c r="D54" s="85">
        <v>4434</v>
      </c>
      <c r="E54" s="91">
        <f t="shared" si="5"/>
        <v>6926.7000000000007</v>
      </c>
      <c r="F54" s="91">
        <f t="shared" si="6"/>
        <v>4877.4000000000005</v>
      </c>
      <c r="G54" s="91">
        <v>4492</v>
      </c>
      <c r="H54" s="91">
        <v>3167.3333333333298</v>
      </c>
      <c r="I54" s="91">
        <f t="shared" si="7"/>
        <v>4941.2000000000007</v>
      </c>
      <c r="J54" s="92">
        <f t="shared" si="8"/>
        <v>3484.066666666663</v>
      </c>
      <c r="K54" s="91">
        <f>500+'Saisie maison'!$C$13*6</f>
        <v>800</v>
      </c>
      <c r="L54" s="85">
        <f>1500+'Saisie maison'!$C$13*7</f>
        <v>1850</v>
      </c>
      <c r="M54" s="91">
        <f>500+'Saisie maison'!$C$14*6</f>
        <v>500</v>
      </c>
      <c r="N54" s="85">
        <f>1500+'Saisie maison'!$C$14*7</f>
        <v>1500</v>
      </c>
      <c r="O54" s="91">
        <f>500+'Saisie maison'!$C$15*6</f>
        <v>500</v>
      </c>
      <c r="P54" s="85">
        <f>1500+'Saisie maison'!$C$15*7</f>
        <v>1500</v>
      </c>
      <c r="Q54" s="91">
        <f>500+'Saisie maison'!$C$16*6</f>
        <v>500</v>
      </c>
      <c r="R54" s="85">
        <f>1500+'Saisie maison'!$C$16*7</f>
        <v>1500</v>
      </c>
      <c r="S54" s="91">
        <f>500+'Saisie maison'!$C$17*6</f>
        <v>500</v>
      </c>
      <c r="T54" s="85">
        <f>1500+'Saisie maison'!$C$17*7</f>
        <v>1500</v>
      </c>
      <c r="U54" s="93">
        <v>550</v>
      </c>
      <c r="V54" s="93">
        <f t="shared" si="9"/>
        <v>275</v>
      </c>
      <c r="W54" s="93">
        <v>0</v>
      </c>
      <c r="X54" s="93"/>
      <c r="AN54" s="85" t="s">
        <v>319</v>
      </c>
      <c r="AO54" s="85">
        <v>0.9</v>
      </c>
      <c r="AP54" s="85">
        <f>$AO$6</f>
        <v>0.15570000000000001</v>
      </c>
      <c r="AQ54" s="85" t="e">
        <f>$AO$7</f>
        <v>#N/A</v>
      </c>
      <c r="AR54" s="85" t="e">
        <f>$AO$8</f>
        <v>#N/A</v>
      </c>
      <c r="AS54" s="85" t="e">
        <f>$AO$9</f>
        <v>#N/A</v>
      </c>
      <c r="AT54" s="85" t="e">
        <f>$AO$10</f>
        <v>#N/A</v>
      </c>
      <c r="AU54" s="85" t="s">
        <v>239</v>
      </c>
    </row>
    <row r="55" spans="1:47" x14ac:dyDescent="0.25">
      <c r="A55" s="85" t="s">
        <v>320</v>
      </c>
      <c r="B55" s="85">
        <v>51</v>
      </c>
      <c r="C55" s="85">
        <v>7168</v>
      </c>
      <c r="D55" s="85">
        <v>5226</v>
      </c>
      <c r="E55" s="91">
        <f t="shared" si="5"/>
        <v>7884.8000000000011</v>
      </c>
      <c r="F55" s="91">
        <f t="shared" si="6"/>
        <v>5748.6</v>
      </c>
      <c r="G55" s="91">
        <v>5286</v>
      </c>
      <c r="H55" s="91">
        <v>3868</v>
      </c>
      <c r="I55" s="91">
        <f t="shared" si="7"/>
        <v>5814.6</v>
      </c>
      <c r="J55" s="92">
        <f t="shared" si="8"/>
        <v>4254.8</v>
      </c>
      <c r="K55" s="91">
        <f>600+'Saisie maison'!$C$13*7</f>
        <v>950</v>
      </c>
      <c r="L55" s="91">
        <f>1800+'Saisie maison'!$C$13*7</f>
        <v>2150</v>
      </c>
      <c r="M55" s="91">
        <f>600+'Saisie maison'!$C$14*7</f>
        <v>600</v>
      </c>
      <c r="N55" s="91">
        <f>1800+'Saisie maison'!$C$14*7</f>
        <v>1800</v>
      </c>
      <c r="O55" s="91">
        <f>600+'Saisie maison'!$C$15*7</f>
        <v>600</v>
      </c>
      <c r="P55" s="91">
        <f>1800+'Saisie maison'!$C$15*7</f>
        <v>1800</v>
      </c>
      <c r="Q55" s="91">
        <f>600+'Saisie maison'!$C$16*7</f>
        <v>600</v>
      </c>
      <c r="R55" s="91">
        <f>1800+'Saisie maison'!$C$16*7</f>
        <v>1800</v>
      </c>
      <c r="S55" s="91">
        <f>600+'Saisie maison'!$C$17*7</f>
        <v>600</v>
      </c>
      <c r="T55" s="91">
        <f>1800+'Saisie maison'!$C$17*7</f>
        <v>1800</v>
      </c>
      <c r="U55" s="93">
        <v>700</v>
      </c>
      <c r="V55" s="93">
        <f t="shared" si="9"/>
        <v>350</v>
      </c>
      <c r="W55" s="93">
        <v>0</v>
      </c>
      <c r="X55" s="93"/>
      <c r="AN55" s="85" t="s">
        <v>321</v>
      </c>
      <c r="AO55" s="85">
        <v>0.8</v>
      </c>
      <c r="AP55" s="85">
        <f>$AO$6</f>
        <v>0.15570000000000001</v>
      </c>
      <c r="AQ55" s="85" t="e">
        <f>$AO$7</f>
        <v>#N/A</v>
      </c>
      <c r="AR55" s="85" t="e">
        <f>$AO$8</f>
        <v>#N/A</v>
      </c>
      <c r="AS55" s="85" t="e">
        <f>$AO$9</f>
        <v>#N/A</v>
      </c>
      <c r="AT55" s="85" t="e">
        <f>$AO$10</f>
        <v>#N/A</v>
      </c>
      <c r="AU55" s="85" t="s">
        <v>239</v>
      </c>
    </row>
    <row r="56" spans="1:47" x14ac:dyDescent="0.25">
      <c r="A56" s="85" t="s">
        <v>322</v>
      </c>
      <c r="B56" s="85">
        <v>35</v>
      </c>
      <c r="C56" s="85">
        <v>5903</v>
      </c>
      <c r="D56" s="85">
        <v>4118</v>
      </c>
      <c r="E56" s="91">
        <f t="shared" si="5"/>
        <v>6493.3</v>
      </c>
      <c r="F56" s="91">
        <f t="shared" si="6"/>
        <v>4529.8</v>
      </c>
      <c r="G56" s="91">
        <v>4174.6666666666697</v>
      </c>
      <c r="H56" s="91">
        <v>2920.6666666666702</v>
      </c>
      <c r="I56" s="91">
        <f t="shared" si="7"/>
        <v>4592.1333333333369</v>
      </c>
      <c r="J56" s="92">
        <f t="shared" si="8"/>
        <v>3212.7333333333372</v>
      </c>
      <c r="K56" s="91">
        <f>500+'Saisie maison'!$C$13*6</f>
        <v>800</v>
      </c>
      <c r="L56" s="85">
        <f>1500+'Saisie maison'!$C$13*7</f>
        <v>1850</v>
      </c>
      <c r="M56" s="91">
        <f>500+'Saisie maison'!$C$14*6</f>
        <v>500</v>
      </c>
      <c r="N56" s="85">
        <f>1500+'Saisie maison'!$C$14*7</f>
        <v>1500</v>
      </c>
      <c r="O56" s="91">
        <f>500+'Saisie maison'!$C$15*6</f>
        <v>500</v>
      </c>
      <c r="P56" s="85">
        <f>1500+'Saisie maison'!$C$15*7</f>
        <v>1500</v>
      </c>
      <c r="Q56" s="91">
        <f>500+'Saisie maison'!$C$16*6</f>
        <v>500</v>
      </c>
      <c r="R56" s="85">
        <f>1500+'Saisie maison'!$C$16*7</f>
        <v>1500</v>
      </c>
      <c r="S56" s="91">
        <f>500+'Saisie maison'!$C$17*6</f>
        <v>500</v>
      </c>
      <c r="T56" s="85">
        <f>1500+'Saisie maison'!$C$17*7</f>
        <v>1500</v>
      </c>
      <c r="U56" s="93">
        <v>550</v>
      </c>
      <c r="V56" s="93">
        <f t="shared" si="9"/>
        <v>275</v>
      </c>
      <c r="W56" s="93">
        <v>0</v>
      </c>
      <c r="X56" s="93"/>
      <c r="AN56" s="85" t="s">
        <v>86</v>
      </c>
      <c r="AO56" s="85">
        <v>0.92</v>
      </c>
      <c r="AP56" s="85">
        <f>$AO$6</f>
        <v>0.15570000000000001</v>
      </c>
      <c r="AQ56" s="85" t="e">
        <f>$AO$7</f>
        <v>#N/A</v>
      </c>
      <c r="AR56" s="85" t="e">
        <f>$AO$8</f>
        <v>#N/A</v>
      </c>
      <c r="AS56" s="85" t="e">
        <f>$AO$9</f>
        <v>#N/A</v>
      </c>
      <c r="AT56" s="85" t="e">
        <f>$AO$10</f>
        <v>#N/A</v>
      </c>
      <c r="AU56" s="85" t="s">
        <v>239</v>
      </c>
    </row>
    <row r="57" spans="1:47" x14ac:dyDescent="0.25">
      <c r="A57" s="85" t="s">
        <v>323</v>
      </c>
      <c r="B57" s="85">
        <v>76</v>
      </c>
      <c r="C57" s="85">
        <v>7780</v>
      </c>
      <c r="D57" s="85">
        <v>5579</v>
      </c>
      <c r="E57" s="91">
        <f t="shared" si="5"/>
        <v>8558</v>
      </c>
      <c r="F57" s="91">
        <f t="shared" si="6"/>
        <v>6136.9000000000005</v>
      </c>
      <c r="G57" s="91">
        <v>5645.3333333333303</v>
      </c>
      <c r="H57" s="91">
        <v>4058.3333333333298</v>
      </c>
      <c r="I57" s="91">
        <f t="shared" si="7"/>
        <v>6209.8666666666641</v>
      </c>
      <c r="J57" s="92">
        <f t="shared" si="8"/>
        <v>4464.1666666666633</v>
      </c>
      <c r="K57" s="91">
        <f>600+'Saisie maison'!$C$13*7</f>
        <v>950</v>
      </c>
      <c r="L57" s="91">
        <f>1800+'Saisie maison'!$C$13*7</f>
        <v>2150</v>
      </c>
      <c r="M57" s="91">
        <f>600+'Saisie maison'!$C$14*7</f>
        <v>600</v>
      </c>
      <c r="N57" s="91">
        <f>1800+'Saisie maison'!$C$14*7</f>
        <v>1800</v>
      </c>
      <c r="O57" s="91">
        <f>600+'Saisie maison'!$C$15*7</f>
        <v>600</v>
      </c>
      <c r="P57" s="91">
        <f>1800+'Saisie maison'!$C$15*7</f>
        <v>1800</v>
      </c>
      <c r="Q57" s="91">
        <f>600+'Saisie maison'!$C$16*7</f>
        <v>600</v>
      </c>
      <c r="R57" s="91">
        <f>1800+'Saisie maison'!$C$16*7</f>
        <v>1800</v>
      </c>
      <c r="S57" s="91">
        <f>600+'Saisie maison'!$C$17*7</f>
        <v>600</v>
      </c>
      <c r="T57" s="91">
        <f>1800+'Saisie maison'!$C$17*7</f>
        <v>1800</v>
      </c>
      <c r="U57" s="93">
        <v>700</v>
      </c>
      <c r="V57" s="93">
        <f t="shared" si="9"/>
        <v>350</v>
      </c>
      <c r="W57" s="93">
        <v>0</v>
      </c>
      <c r="X57" s="93"/>
    </row>
    <row r="58" spans="1:47" x14ac:dyDescent="0.25">
      <c r="A58" s="85" t="s">
        <v>324</v>
      </c>
      <c r="B58" s="85">
        <v>9</v>
      </c>
      <c r="C58" s="85">
        <v>5363</v>
      </c>
      <c r="D58" s="85">
        <v>3686</v>
      </c>
      <c r="E58" s="91">
        <f t="shared" si="5"/>
        <v>5899.3</v>
      </c>
      <c r="F58" s="91">
        <f t="shared" si="6"/>
        <v>4054.6000000000004</v>
      </c>
      <c r="G58" s="91">
        <v>3736.6666666666702</v>
      </c>
      <c r="H58" s="91">
        <v>2542.3333333333298</v>
      </c>
      <c r="I58" s="91">
        <f t="shared" si="7"/>
        <v>4110.3333333333376</v>
      </c>
      <c r="J58" s="92">
        <f t="shared" si="8"/>
        <v>2796.566666666663</v>
      </c>
      <c r="K58" s="91">
        <f>500+'Saisie maison'!$C$13*6</f>
        <v>800</v>
      </c>
      <c r="L58" s="85">
        <f>1500+'Saisie maison'!$C$13*7</f>
        <v>1850</v>
      </c>
      <c r="M58" s="91">
        <f>500+'Saisie maison'!$C$14*6</f>
        <v>500</v>
      </c>
      <c r="N58" s="85">
        <f>1500+'Saisie maison'!$C$14*7</f>
        <v>1500</v>
      </c>
      <c r="O58" s="91">
        <f>500+'Saisie maison'!$C$15*6</f>
        <v>500</v>
      </c>
      <c r="P58" s="85">
        <f>1500+'Saisie maison'!$C$15*7</f>
        <v>1500</v>
      </c>
      <c r="Q58" s="91">
        <f>500+'Saisie maison'!$C$16*6</f>
        <v>500</v>
      </c>
      <c r="R58" s="85">
        <f>1500+'Saisie maison'!$C$16*7</f>
        <v>1500</v>
      </c>
      <c r="S58" s="91">
        <f>500+'Saisie maison'!$C$17*6</f>
        <v>500</v>
      </c>
      <c r="T58" s="85">
        <f>1500+'Saisie maison'!$C$17*7</f>
        <v>1500</v>
      </c>
      <c r="U58" s="93">
        <v>550</v>
      </c>
      <c r="V58" s="93">
        <f t="shared" si="9"/>
        <v>275</v>
      </c>
      <c r="W58" s="93">
        <v>0</v>
      </c>
      <c r="X58" s="93"/>
    </row>
    <row r="59" spans="1:47" x14ac:dyDescent="0.25">
      <c r="A59" s="85" t="s">
        <v>325</v>
      </c>
      <c r="B59" s="85">
        <v>52</v>
      </c>
      <c r="C59" s="85">
        <v>6827</v>
      </c>
      <c r="D59" s="85">
        <v>4970</v>
      </c>
      <c r="E59" s="91">
        <f t="shared" si="5"/>
        <v>7509.7000000000007</v>
      </c>
      <c r="F59" s="91">
        <f t="shared" si="6"/>
        <v>5467</v>
      </c>
      <c r="G59" s="91">
        <v>5027</v>
      </c>
      <c r="H59" s="91">
        <v>3681.3333333333298</v>
      </c>
      <c r="I59" s="91">
        <f t="shared" si="7"/>
        <v>5529.7000000000007</v>
      </c>
      <c r="J59" s="92">
        <f t="shared" si="8"/>
        <v>4049.4666666666631</v>
      </c>
      <c r="K59" s="91">
        <f>500+'Saisie maison'!$C$13*6</f>
        <v>800</v>
      </c>
      <c r="L59" s="85">
        <f>1500+'Saisie maison'!$C$13*7</f>
        <v>1850</v>
      </c>
      <c r="M59" s="91">
        <f>500+'Saisie maison'!$C$14*6</f>
        <v>500</v>
      </c>
      <c r="N59" s="85">
        <f>1500+'Saisie maison'!$C$14*7</f>
        <v>1500</v>
      </c>
      <c r="O59" s="91">
        <f>500+'Saisie maison'!$C$15*6</f>
        <v>500</v>
      </c>
      <c r="P59" s="85">
        <f>1500+'Saisie maison'!$C$15*7</f>
        <v>1500</v>
      </c>
      <c r="Q59" s="91">
        <f>500+'Saisie maison'!$C$16*6</f>
        <v>500</v>
      </c>
      <c r="R59" s="85">
        <f>1500+'Saisie maison'!$C$16*7</f>
        <v>1500</v>
      </c>
      <c r="S59" s="91">
        <f>500+'Saisie maison'!$C$17*6</f>
        <v>500</v>
      </c>
      <c r="T59" s="85">
        <f>1500+'Saisie maison'!$C$17*7</f>
        <v>1500</v>
      </c>
      <c r="U59" s="93">
        <v>550</v>
      </c>
      <c r="V59" s="93">
        <f t="shared" si="9"/>
        <v>275</v>
      </c>
      <c r="W59" s="93">
        <v>0</v>
      </c>
      <c r="X59" s="93"/>
    </row>
    <row r="60" spans="1:47" x14ac:dyDescent="0.25">
      <c r="A60" s="85" t="s">
        <v>326</v>
      </c>
      <c r="B60" s="85">
        <v>42</v>
      </c>
      <c r="C60" s="85">
        <v>7942</v>
      </c>
      <c r="D60" s="85">
        <v>5808</v>
      </c>
      <c r="E60" s="91">
        <f t="shared" si="5"/>
        <v>8736.2000000000007</v>
      </c>
      <c r="F60" s="91">
        <f t="shared" si="6"/>
        <v>6388.8</v>
      </c>
      <c r="G60" s="91">
        <v>5722.3333333333303</v>
      </c>
      <c r="H60" s="91">
        <v>4320</v>
      </c>
      <c r="I60" s="91">
        <f t="shared" si="7"/>
        <v>6294.5666666666639</v>
      </c>
      <c r="J60" s="92">
        <f t="shared" si="8"/>
        <v>4752</v>
      </c>
      <c r="K60" s="91">
        <f>500+'Saisie maison'!$C$13*6</f>
        <v>800</v>
      </c>
      <c r="L60" s="85">
        <f>1500+'Saisie maison'!$C$13*7</f>
        <v>1850</v>
      </c>
      <c r="M60" s="91">
        <f>500+'Saisie maison'!$C$14*6</f>
        <v>500</v>
      </c>
      <c r="N60" s="85">
        <f>1500+'Saisie maison'!$C$14*7</f>
        <v>1500</v>
      </c>
      <c r="O60" s="91">
        <f>500+'Saisie maison'!$C$15*6</f>
        <v>500</v>
      </c>
      <c r="P60" s="85">
        <f>1500+'Saisie maison'!$C$15*7</f>
        <v>1500</v>
      </c>
      <c r="Q60" s="91">
        <f>500+'Saisie maison'!$C$16*6</f>
        <v>500</v>
      </c>
      <c r="R60" s="85">
        <f>1500+'Saisie maison'!$C$16*7</f>
        <v>1500</v>
      </c>
      <c r="S60" s="91">
        <f>500+'Saisie maison'!$C$17*6</f>
        <v>500</v>
      </c>
      <c r="T60" s="85">
        <f>1500+'Saisie maison'!$C$17*7</f>
        <v>1500</v>
      </c>
      <c r="U60" s="93">
        <v>550</v>
      </c>
      <c r="V60" s="93">
        <f t="shared" si="9"/>
        <v>275</v>
      </c>
      <c r="W60" s="93">
        <v>0</v>
      </c>
      <c r="X60" s="93"/>
    </row>
    <row r="61" spans="1:47" x14ac:dyDescent="0.25">
      <c r="A61" s="85" t="s">
        <v>327</v>
      </c>
      <c r="B61" s="85">
        <v>2</v>
      </c>
      <c r="C61" s="85">
        <v>7348</v>
      </c>
      <c r="D61" s="85">
        <v>5354</v>
      </c>
      <c r="E61" s="91">
        <f t="shared" si="5"/>
        <v>8082.8000000000011</v>
      </c>
      <c r="F61" s="91">
        <f t="shared" si="6"/>
        <v>5889.4000000000005</v>
      </c>
      <c r="G61" s="91">
        <v>5415.6666666666697</v>
      </c>
      <c r="H61" s="91">
        <v>3974</v>
      </c>
      <c r="I61" s="91">
        <f t="shared" si="7"/>
        <v>5957.2333333333372</v>
      </c>
      <c r="J61" s="92">
        <f t="shared" si="8"/>
        <v>4371.4000000000005</v>
      </c>
      <c r="K61" s="91">
        <f>500+'Saisie maison'!$C$13*6</f>
        <v>800</v>
      </c>
      <c r="L61" s="85">
        <f>1500+'Saisie maison'!$C$13*7</f>
        <v>1850</v>
      </c>
      <c r="M61" s="91">
        <f>500+'Saisie maison'!$C$14*6</f>
        <v>500</v>
      </c>
      <c r="N61" s="85">
        <f>1500+'Saisie maison'!$C$14*7</f>
        <v>1500</v>
      </c>
      <c r="O61" s="91">
        <f>500+'Saisie maison'!$C$15*6</f>
        <v>500</v>
      </c>
      <c r="P61" s="85">
        <f>1500+'Saisie maison'!$C$15*7</f>
        <v>1500</v>
      </c>
      <c r="Q61" s="91">
        <f>500+'Saisie maison'!$C$16*6</f>
        <v>500</v>
      </c>
      <c r="R61" s="85">
        <f>1500+'Saisie maison'!$C$16*7</f>
        <v>1500</v>
      </c>
      <c r="S61" s="91">
        <f>500+'Saisie maison'!$C$17*6</f>
        <v>500</v>
      </c>
      <c r="T61" s="85">
        <f>1500+'Saisie maison'!$C$17*7</f>
        <v>1500</v>
      </c>
      <c r="U61" s="93">
        <v>550</v>
      </c>
      <c r="V61" s="93">
        <f t="shared" si="9"/>
        <v>275</v>
      </c>
      <c r="W61" s="93">
        <v>0</v>
      </c>
      <c r="X61" s="93"/>
    </row>
    <row r="62" spans="1:47" x14ac:dyDescent="0.25">
      <c r="A62" s="85" t="s">
        <v>328</v>
      </c>
      <c r="B62" s="85">
        <v>67</v>
      </c>
      <c r="C62" s="85">
        <v>7716</v>
      </c>
      <c r="D62" s="85">
        <v>5694</v>
      </c>
      <c r="E62" s="91">
        <f t="shared" si="5"/>
        <v>8487.6</v>
      </c>
      <c r="F62" s="91">
        <f t="shared" si="6"/>
        <v>6263.4000000000005</v>
      </c>
      <c r="G62" s="91">
        <v>5755.6666666666697</v>
      </c>
      <c r="H62" s="91">
        <v>4288.3333333333303</v>
      </c>
      <c r="I62" s="91">
        <f t="shared" si="7"/>
        <v>6331.2333333333372</v>
      </c>
      <c r="J62" s="92">
        <f t="shared" si="8"/>
        <v>4717.1666666666633</v>
      </c>
      <c r="K62" s="91">
        <f>600+'Saisie maison'!$C$13*7</f>
        <v>950</v>
      </c>
      <c r="L62" s="91">
        <f>1800+'Saisie maison'!$C$13*7</f>
        <v>2150</v>
      </c>
      <c r="M62" s="91">
        <f>600+'Saisie maison'!$C$14*7</f>
        <v>600</v>
      </c>
      <c r="N62" s="91">
        <f>1800+'Saisie maison'!$C$14*7</f>
        <v>1800</v>
      </c>
      <c r="O62" s="91">
        <f>600+'Saisie maison'!$C$15*7</f>
        <v>600</v>
      </c>
      <c r="P62" s="91">
        <f>1800+'Saisie maison'!$C$15*7</f>
        <v>1800</v>
      </c>
      <c r="Q62" s="91">
        <f>600+'Saisie maison'!$C$16*7</f>
        <v>600</v>
      </c>
      <c r="R62" s="91">
        <f>1800+'Saisie maison'!$C$16*7</f>
        <v>1800</v>
      </c>
      <c r="S62" s="91">
        <f>600+'Saisie maison'!$C$17*7</f>
        <v>600</v>
      </c>
      <c r="T62" s="91">
        <f>1800+'Saisie maison'!$C$17*7</f>
        <v>1800</v>
      </c>
      <c r="U62" s="93">
        <v>700</v>
      </c>
      <c r="V62" s="93">
        <f t="shared" si="9"/>
        <v>350</v>
      </c>
      <c r="W62" s="93">
        <v>0</v>
      </c>
      <c r="X62" s="93"/>
      <c r="Y62" s="93"/>
      <c r="Z62" s="93"/>
    </row>
    <row r="63" spans="1:47" x14ac:dyDescent="0.25">
      <c r="A63" s="85" t="s">
        <v>329</v>
      </c>
      <c r="B63" s="85">
        <v>65</v>
      </c>
      <c r="C63" s="85">
        <v>5300</v>
      </c>
      <c r="D63" s="85">
        <v>3646</v>
      </c>
      <c r="E63" s="91">
        <f t="shared" si="5"/>
        <v>5830.0000000000009</v>
      </c>
      <c r="F63" s="91">
        <f t="shared" si="6"/>
        <v>4010.6000000000004</v>
      </c>
      <c r="G63" s="91">
        <v>3696</v>
      </c>
      <c r="H63" s="91">
        <v>2517.6666666666702</v>
      </c>
      <c r="I63" s="91">
        <f t="shared" si="7"/>
        <v>4065.6000000000004</v>
      </c>
      <c r="J63" s="92">
        <f t="shared" si="8"/>
        <v>2769.4333333333375</v>
      </c>
      <c r="K63" s="91">
        <f>250+'Saisie maison'!$C$13*5</f>
        <v>500</v>
      </c>
      <c r="L63" s="85">
        <f>700+'Saisie maison'!$C$13*7</f>
        <v>1050</v>
      </c>
      <c r="M63" s="91">
        <f>250+'Saisie maison'!$C$14*5</f>
        <v>250</v>
      </c>
      <c r="N63" s="85">
        <f>700+'Saisie maison'!$C$14*7</f>
        <v>700</v>
      </c>
      <c r="O63" s="91">
        <f>250+'Saisie maison'!$C$15*5</f>
        <v>250</v>
      </c>
      <c r="P63" s="85">
        <f>700+'Saisie maison'!$C$15*7</f>
        <v>700</v>
      </c>
      <c r="Q63" s="91">
        <f>250+'Saisie maison'!$C$16*5</f>
        <v>250</v>
      </c>
      <c r="R63" s="85">
        <f>700+'Saisie maison'!$C$16*7</f>
        <v>700</v>
      </c>
      <c r="S63" s="91">
        <f>250+'Saisie maison'!$C$17*5</f>
        <v>250</v>
      </c>
      <c r="T63" s="85">
        <f>700+'Saisie maison'!$C$17*7</f>
        <v>700</v>
      </c>
      <c r="U63" s="93">
        <v>400</v>
      </c>
      <c r="V63" s="93">
        <f t="shared" si="9"/>
        <v>200</v>
      </c>
      <c r="W63" s="93">
        <v>0</v>
      </c>
      <c r="X63" s="93"/>
      <c r="Y63" s="93"/>
      <c r="Z63" s="93"/>
    </row>
    <row r="64" spans="1:47" x14ac:dyDescent="0.25">
      <c r="A64" s="85" t="s">
        <v>330</v>
      </c>
      <c r="B64" s="85">
        <v>83</v>
      </c>
      <c r="C64" s="85">
        <v>2553</v>
      </c>
      <c r="D64" s="85">
        <v>1528</v>
      </c>
      <c r="E64" s="91">
        <f t="shared" si="5"/>
        <v>2808.3</v>
      </c>
      <c r="F64" s="91">
        <f t="shared" si="6"/>
        <v>1680.8000000000002</v>
      </c>
      <c r="G64" s="91">
        <v>1568.3333333333301</v>
      </c>
      <c r="H64" s="91">
        <v>880.33333333333303</v>
      </c>
      <c r="I64" s="91">
        <f t="shared" si="7"/>
        <v>1725.1666666666633</v>
      </c>
      <c r="J64" s="92">
        <f t="shared" si="8"/>
        <v>968.36666666666645</v>
      </c>
      <c r="K64" s="91">
        <f>250+'Saisie maison'!$C$13*5</f>
        <v>500</v>
      </c>
      <c r="L64" s="85">
        <f>700+'Saisie maison'!$C$13*7</f>
        <v>1050</v>
      </c>
      <c r="M64" s="91">
        <f>250+'Saisie maison'!$C$14*5</f>
        <v>250</v>
      </c>
      <c r="N64" s="85">
        <f>700+'Saisie maison'!$C$14*7</f>
        <v>700</v>
      </c>
      <c r="O64" s="91">
        <f>250+'Saisie maison'!$C$15*5</f>
        <v>250</v>
      </c>
      <c r="P64" s="85">
        <f>700+'Saisie maison'!$C$15*7</f>
        <v>700</v>
      </c>
      <c r="Q64" s="91">
        <f>250+'Saisie maison'!$C$16*5</f>
        <v>250</v>
      </c>
      <c r="R64" s="85">
        <f>700+'Saisie maison'!$C$16*7</f>
        <v>700</v>
      </c>
      <c r="S64" s="91">
        <f>250+'Saisie maison'!$C$17*5</f>
        <v>250</v>
      </c>
      <c r="T64" s="85">
        <f>700+'Saisie maison'!$C$17*7</f>
        <v>700</v>
      </c>
      <c r="U64" s="93">
        <v>400</v>
      </c>
      <c r="V64" s="93">
        <f t="shared" si="9"/>
        <v>200</v>
      </c>
      <c r="W64" s="93">
        <v>0</v>
      </c>
      <c r="X64" s="93"/>
      <c r="Y64" s="93"/>
      <c r="Z64" s="93"/>
    </row>
    <row r="65" spans="1:26" x14ac:dyDescent="0.25">
      <c r="A65" s="85" t="s">
        <v>331</v>
      </c>
      <c r="B65" s="85">
        <v>31</v>
      </c>
      <c r="C65" s="85">
        <v>4820</v>
      </c>
      <c r="D65" s="85">
        <v>3336</v>
      </c>
      <c r="E65" s="91">
        <f t="shared" si="5"/>
        <v>5302</v>
      </c>
      <c r="F65" s="91">
        <f t="shared" si="6"/>
        <v>3669.6000000000004</v>
      </c>
      <c r="G65" s="91">
        <v>3380.3333333333298</v>
      </c>
      <c r="H65" s="91">
        <v>2340.3333333333298</v>
      </c>
      <c r="I65" s="91">
        <f t="shared" si="7"/>
        <v>3718.3666666666631</v>
      </c>
      <c r="J65" s="92">
        <f t="shared" si="8"/>
        <v>2574.3666666666631</v>
      </c>
      <c r="K65" s="91">
        <f>250+'Saisie maison'!$C$13*5</f>
        <v>500</v>
      </c>
      <c r="L65" s="85">
        <f>700+'Saisie maison'!$C$13*7</f>
        <v>1050</v>
      </c>
      <c r="M65" s="91">
        <f>250+'Saisie maison'!$C$14*5</f>
        <v>250</v>
      </c>
      <c r="N65" s="85">
        <f>700+'Saisie maison'!$C$14*7</f>
        <v>700</v>
      </c>
      <c r="O65" s="91">
        <f>250+'Saisie maison'!$C$15*5</f>
        <v>250</v>
      </c>
      <c r="P65" s="85">
        <f>700+'Saisie maison'!$C$15*7</f>
        <v>700</v>
      </c>
      <c r="Q65" s="91">
        <f>250+'Saisie maison'!$C$16*5</f>
        <v>250</v>
      </c>
      <c r="R65" s="85">
        <f>700+'Saisie maison'!$C$16*7</f>
        <v>700</v>
      </c>
      <c r="S65" s="91">
        <f>250+'Saisie maison'!$C$17*5</f>
        <v>250</v>
      </c>
      <c r="T65" s="85">
        <f>700+'Saisie maison'!$C$17*7</f>
        <v>700</v>
      </c>
      <c r="U65" s="93">
        <v>400</v>
      </c>
      <c r="V65" s="93">
        <f t="shared" si="9"/>
        <v>200</v>
      </c>
      <c r="W65" s="93">
        <v>0</v>
      </c>
      <c r="X65" s="93"/>
      <c r="Y65" s="93"/>
      <c r="Z65" s="93"/>
    </row>
    <row r="66" spans="1:26" x14ac:dyDescent="0.25">
      <c r="A66" s="85" t="s">
        <v>332</v>
      </c>
      <c r="B66" s="85">
        <v>37</v>
      </c>
      <c r="C66" s="85">
        <v>6487</v>
      </c>
      <c r="D66" s="85">
        <v>4592</v>
      </c>
      <c r="E66" s="91">
        <f t="shared" si="5"/>
        <v>7135.7000000000007</v>
      </c>
      <c r="F66" s="91">
        <f t="shared" si="6"/>
        <v>5051.2000000000007</v>
      </c>
      <c r="G66" s="91">
        <v>4651</v>
      </c>
      <c r="H66" s="91">
        <v>3291.6666666666702</v>
      </c>
      <c r="I66" s="91">
        <f t="shared" si="7"/>
        <v>5116.1000000000004</v>
      </c>
      <c r="J66" s="92">
        <f t="shared" si="8"/>
        <v>3620.8333333333376</v>
      </c>
      <c r="K66" s="91">
        <f>500+'Saisie maison'!$C$13*6</f>
        <v>800</v>
      </c>
      <c r="L66" s="85">
        <f>1500+'Saisie maison'!$C$13*7</f>
        <v>1850</v>
      </c>
      <c r="M66" s="91">
        <f>500+'Saisie maison'!$C$14*6</f>
        <v>500</v>
      </c>
      <c r="N66" s="85">
        <f>1500+'Saisie maison'!$C$14*7</f>
        <v>1500</v>
      </c>
      <c r="O66" s="91">
        <f>500+'Saisie maison'!$C$15*6</f>
        <v>500</v>
      </c>
      <c r="P66" s="85">
        <f>1500+'Saisie maison'!$C$15*7</f>
        <v>1500</v>
      </c>
      <c r="Q66" s="91">
        <f>500+'Saisie maison'!$C$16*6</f>
        <v>500</v>
      </c>
      <c r="R66" s="85">
        <f>1500+'Saisie maison'!$C$16*7</f>
        <v>1500</v>
      </c>
      <c r="S66" s="91">
        <f>500+'Saisie maison'!$C$17*6</f>
        <v>500</v>
      </c>
      <c r="T66" s="85">
        <f>1500+'Saisie maison'!$C$17*7</f>
        <v>1500</v>
      </c>
      <c r="U66" s="93">
        <v>550</v>
      </c>
      <c r="V66" s="93">
        <f t="shared" si="9"/>
        <v>275</v>
      </c>
      <c r="W66" s="93">
        <v>0</v>
      </c>
      <c r="X66" s="93"/>
      <c r="Y66" s="93"/>
      <c r="Z66" s="93"/>
    </row>
    <row r="67" spans="1:26" x14ac:dyDescent="0.25">
      <c r="A67" s="85" t="s">
        <v>333</v>
      </c>
      <c r="B67" s="85">
        <v>78</v>
      </c>
      <c r="C67" s="85">
        <v>7475</v>
      </c>
      <c r="D67" s="85">
        <v>5369</v>
      </c>
      <c r="E67" s="91">
        <f t="shared" si="5"/>
        <v>8222.5</v>
      </c>
      <c r="F67" s="91">
        <f t="shared" si="6"/>
        <v>5905.9000000000005</v>
      </c>
      <c r="G67" s="91">
        <v>5433</v>
      </c>
      <c r="H67" s="91">
        <v>3906.3333333333298</v>
      </c>
      <c r="I67" s="91">
        <f t="shared" si="7"/>
        <v>5976.3</v>
      </c>
      <c r="J67" s="92">
        <f t="shared" si="8"/>
        <v>4296.9666666666635</v>
      </c>
      <c r="K67" s="91">
        <f>500+'Saisie maison'!$C$13*6</f>
        <v>800</v>
      </c>
      <c r="L67" s="85">
        <f>1600+'Saisie maison'!$C$13*7</f>
        <v>1950</v>
      </c>
      <c r="M67" s="91">
        <f>500+'Saisie maison'!$C$14*6</f>
        <v>500</v>
      </c>
      <c r="N67" s="85">
        <f>1600+'Saisie maison'!$C$14*7</f>
        <v>1600</v>
      </c>
      <c r="O67" s="91">
        <f>500+'Saisie maison'!$C$15*6</f>
        <v>500</v>
      </c>
      <c r="P67" s="85">
        <f>1600+'Saisie maison'!$C$15*7</f>
        <v>1600</v>
      </c>
      <c r="Q67" s="91">
        <f>500+'Saisie maison'!$C$16*6</f>
        <v>500</v>
      </c>
      <c r="R67" s="85">
        <f>1600+'Saisie maison'!$C$16*7</f>
        <v>1600</v>
      </c>
      <c r="S67" s="91">
        <f>500+'Saisie maison'!$C$17*6</f>
        <v>500</v>
      </c>
      <c r="T67" s="85">
        <f>1600+'Saisie maison'!$C$17*7</f>
        <v>1600</v>
      </c>
      <c r="U67" s="93">
        <v>550</v>
      </c>
      <c r="V67" s="93">
        <f t="shared" si="9"/>
        <v>275</v>
      </c>
      <c r="W67" s="93">
        <v>0</v>
      </c>
      <c r="X67" s="93"/>
      <c r="Y67" s="93"/>
      <c r="Z67" s="93"/>
    </row>
  </sheetData>
  <mergeCells count="46">
    <mergeCell ref="AP36:AT36"/>
    <mergeCell ref="BG19:BH19"/>
    <mergeCell ref="AW21:AW32"/>
    <mergeCell ref="AY35:AZ35"/>
    <mergeCell ref="BA35:BB35"/>
    <mergeCell ref="BC35:BD35"/>
    <mergeCell ref="BE35:BF35"/>
    <mergeCell ref="BG35:BH35"/>
    <mergeCell ref="AB19:AC19"/>
    <mergeCell ref="AY19:AZ19"/>
    <mergeCell ref="BA19:BB19"/>
    <mergeCell ref="BC19:BD19"/>
    <mergeCell ref="BE19:BF19"/>
    <mergeCell ref="AB14:AC14"/>
    <mergeCell ref="AB15:AC15"/>
    <mergeCell ref="AB16:AC16"/>
    <mergeCell ref="AB17:AC17"/>
    <mergeCell ref="AB18:AC18"/>
    <mergeCell ref="AB9:AC9"/>
    <mergeCell ref="AB10:AC10"/>
    <mergeCell ref="AB11:AC11"/>
    <mergeCell ref="AB13:AC13"/>
    <mergeCell ref="AM13:AO13"/>
    <mergeCell ref="AY8:AZ8"/>
    <mergeCell ref="BA8:BB8"/>
    <mergeCell ref="BC8:BD8"/>
    <mergeCell ref="BE8:BF8"/>
    <mergeCell ref="BG8:BH8"/>
    <mergeCell ref="AM4:AO4"/>
    <mergeCell ref="AB5:AC5"/>
    <mergeCell ref="AB6:AC6"/>
    <mergeCell ref="AB7:AC7"/>
    <mergeCell ref="AB8:AC8"/>
    <mergeCell ref="A2:A5"/>
    <mergeCell ref="B2:B5"/>
    <mergeCell ref="C2:J2"/>
    <mergeCell ref="AB2:AC2"/>
    <mergeCell ref="C3:D4"/>
    <mergeCell ref="E3:F4"/>
    <mergeCell ref="G3:H4"/>
    <mergeCell ref="I3:J4"/>
    <mergeCell ref="K4:L4"/>
    <mergeCell ref="M4:N4"/>
    <mergeCell ref="O4:P4"/>
    <mergeCell ref="Q4:R4"/>
    <mergeCell ref="S4:T4"/>
  </mergeCells>
  <conditionalFormatting sqref="AX31">
    <cfRule type="expression" dxfId="5" priority="2">
      <formula>$C$22=$BQ$26</formula>
    </cfRule>
  </conditionalFormatting>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7D31"/>
    <pageSetUpPr fitToPage="1"/>
  </sheetPr>
  <dimension ref="A1:AMK33"/>
  <sheetViews>
    <sheetView showGridLines="0" zoomScale="75" zoomScaleNormal="75" workbookViewId="0">
      <selection activeCell="R19" sqref="R19"/>
    </sheetView>
  </sheetViews>
  <sheetFormatPr baseColWidth="10" defaultColWidth="9.140625" defaultRowHeight="15" x14ac:dyDescent="0.25"/>
  <cols>
    <col min="1" max="1" width="14.140625" style="138" customWidth="1"/>
    <col min="2" max="2" width="25.85546875" style="138" customWidth="1"/>
    <col min="3" max="3" width="10.28515625" style="138" customWidth="1"/>
    <col min="4" max="4" width="14.28515625" style="138" customWidth="1"/>
    <col min="5" max="5" width="38.7109375" style="138" customWidth="1"/>
    <col min="6" max="6" width="18.85546875" style="138" customWidth="1"/>
    <col min="7" max="7" width="20.7109375" style="138" customWidth="1"/>
    <col min="8" max="8" width="17.85546875" style="138" customWidth="1"/>
    <col min="9" max="11" width="11.42578125" style="138"/>
    <col min="12" max="12" width="12.28515625" style="138" customWidth="1"/>
    <col min="13" max="13" width="13" style="138" customWidth="1"/>
    <col min="14" max="16" width="12.28515625" style="138" customWidth="1"/>
    <col min="17" max="19" width="12.85546875" style="138" customWidth="1"/>
    <col min="20" max="21" width="11.28515625" style="138" customWidth="1"/>
    <col min="22" max="1025" width="11.42578125" style="138"/>
  </cols>
  <sheetData>
    <row r="1" spans="1:22" ht="32.1" customHeight="1" x14ac:dyDescent="0.25">
      <c r="A1" s="296" t="s">
        <v>334</v>
      </c>
      <c r="B1" s="296"/>
      <c r="C1" s="296"/>
      <c r="D1" s="296"/>
      <c r="E1" s="296"/>
      <c r="F1" s="296"/>
      <c r="G1" s="296"/>
      <c r="H1" s="296"/>
      <c r="I1" s="296"/>
      <c r="J1" s="296"/>
      <c r="K1" s="296"/>
      <c r="L1" s="296"/>
      <c r="M1" s="296"/>
      <c r="N1" s="296"/>
      <c r="O1" s="296"/>
      <c r="P1" s="296"/>
      <c r="Q1" s="296"/>
      <c r="R1" s="296"/>
      <c r="S1" s="296"/>
      <c r="T1" s="296"/>
      <c r="U1" s="296"/>
      <c r="V1" s="139"/>
    </row>
    <row r="2" spans="1:22" ht="42" customHeight="1" x14ac:dyDescent="0.25">
      <c r="A2" s="297" t="s">
        <v>335</v>
      </c>
      <c r="B2" s="297"/>
      <c r="C2" s="298" t="s">
        <v>336</v>
      </c>
      <c r="D2" s="298"/>
      <c r="E2" s="298"/>
      <c r="F2" s="298"/>
      <c r="G2" s="298"/>
      <c r="H2" s="140"/>
      <c r="I2" s="140"/>
      <c r="J2" s="140"/>
      <c r="K2" s="2" t="s">
        <v>52</v>
      </c>
      <c r="L2" s="2"/>
      <c r="M2" s="39"/>
      <c r="N2" s="1" t="s">
        <v>53</v>
      </c>
      <c r="O2" s="1"/>
      <c r="P2" s="141"/>
      <c r="Q2" s="299" t="s">
        <v>54</v>
      </c>
      <c r="R2" s="299"/>
      <c r="S2" s="140"/>
      <c r="T2" s="140"/>
      <c r="U2" s="140"/>
      <c r="V2" s="143"/>
    </row>
    <row r="3" spans="1:22" ht="24.95" customHeight="1" x14ac:dyDescent="0.25">
      <c r="A3" s="6" t="s">
        <v>43</v>
      </c>
      <c r="B3" s="6"/>
      <c r="C3" s="5" t="s">
        <v>312</v>
      </c>
      <c r="D3" s="5"/>
      <c r="E3" s="144"/>
      <c r="F3" s="145"/>
      <c r="G3" s="145"/>
      <c r="H3" s="145"/>
      <c r="I3" s="145"/>
      <c r="J3" s="145"/>
      <c r="K3" s="145"/>
      <c r="L3" s="145"/>
      <c r="M3" s="145"/>
      <c r="N3" s="145"/>
      <c r="O3" s="145"/>
      <c r="P3" s="145"/>
      <c r="Q3" s="145"/>
      <c r="R3" s="145"/>
      <c r="S3" s="145"/>
      <c r="T3" s="145"/>
      <c r="U3" s="145"/>
      <c r="V3" s="146"/>
    </row>
    <row r="4" spans="1:22" ht="24.95" customHeight="1" x14ac:dyDescent="0.25">
      <c r="A4" s="300" t="s">
        <v>337</v>
      </c>
      <c r="B4" s="300"/>
      <c r="C4" s="301" t="s">
        <v>338</v>
      </c>
      <c r="D4" s="301"/>
      <c r="E4" s="148"/>
      <c r="F4" s="46"/>
      <c r="G4" s="46"/>
      <c r="H4" s="46"/>
      <c r="I4" s="46"/>
      <c r="J4" s="46"/>
      <c r="K4" s="46"/>
      <c r="L4" s="46"/>
      <c r="M4" s="46"/>
      <c r="N4" s="46"/>
      <c r="O4" s="46"/>
      <c r="P4" s="46"/>
      <c r="Q4" s="302" t="s">
        <v>339</v>
      </c>
      <c r="R4" s="302"/>
      <c r="S4" s="302"/>
      <c r="T4" s="302"/>
      <c r="U4" s="302"/>
      <c r="V4" s="149"/>
    </row>
    <row r="5" spans="1:22" ht="33" customHeight="1" x14ac:dyDescent="0.25">
      <c r="A5" s="6" t="s">
        <v>55</v>
      </c>
      <c r="B5" s="6"/>
      <c r="C5" s="269" t="s">
        <v>56</v>
      </c>
      <c r="D5" s="269"/>
      <c r="E5" s="150"/>
      <c r="F5" s="39"/>
      <c r="G5" s="39"/>
      <c r="H5" s="39"/>
      <c r="I5" s="39"/>
      <c r="J5" s="39"/>
      <c r="K5" s="39"/>
      <c r="L5" s="39"/>
      <c r="M5" s="39"/>
      <c r="N5" s="39"/>
      <c r="O5" s="39"/>
      <c r="P5" s="39"/>
      <c r="Q5" s="302"/>
      <c r="R5" s="302"/>
      <c r="S5" s="302"/>
      <c r="T5" s="302"/>
      <c r="U5" s="302"/>
      <c r="V5" s="47"/>
    </row>
    <row r="6" spans="1:22" ht="60" customHeight="1" x14ac:dyDescent="0.25">
      <c r="A6" s="300" t="s">
        <v>340</v>
      </c>
      <c r="B6" s="300"/>
      <c r="C6" s="147" t="s">
        <v>341</v>
      </c>
      <c r="D6" s="148"/>
      <c r="E6" s="151"/>
      <c r="F6" s="151"/>
      <c r="G6" s="46"/>
      <c r="H6" s="46"/>
      <c r="I6" s="46"/>
      <c r="J6" s="46"/>
      <c r="K6" s="46"/>
      <c r="L6" s="46"/>
      <c r="M6" s="46"/>
      <c r="N6" s="46"/>
      <c r="O6" s="46"/>
      <c r="P6" s="46"/>
      <c r="Q6" s="302"/>
      <c r="R6" s="302"/>
      <c r="S6" s="302"/>
      <c r="T6" s="302"/>
      <c r="U6" s="302"/>
      <c r="V6" s="149"/>
    </row>
    <row r="7" spans="1:22" ht="45" customHeight="1" x14ac:dyDescent="0.25">
      <c r="A7" s="6" t="s">
        <v>342</v>
      </c>
      <c r="B7" s="6"/>
      <c r="C7" s="48" t="s">
        <v>341</v>
      </c>
      <c r="D7" s="150"/>
      <c r="E7" s="37" t="s">
        <v>343</v>
      </c>
      <c r="F7" s="48" t="s">
        <v>341</v>
      </c>
      <c r="G7" s="37" t="s">
        <v>344</v>
      </c>
      <c r="H7" s="48" t="s">
        <v>60</v>
      </c>
      <c r="I7" s="150"/>
      <c r="J7" s="39"/>
      <c r="K7" s="141"/>
      <c r="L7" s="141"/>
      <c r="M7" s="141"/>
      <c r="N7" s="141"/>
      <c r="O7" s="141"/>
      <c r="P7" s="143"/>
      <c r="Q7" s="302"/>
      <c r="R7" s="302"/>
      <c r="S7" s="302"/>
      <c r="T7" s="302"/>
      <c r="U7" s="302"/>
      <c r="V7" s="149"/>
    </row>
    <row r="8" spans="1:22" ht="29.25" customHeight="1" x14ac:dyDescent="0.25">
      <c r="A8" s="6" t="s">
        <v>345</v>
      </c>
      <c r="B8" s="6"/>
      <c r="C8" s="48" t="s">
        <v>341</v>
      </c>
      <c r="D8" s="39"/>
      <c r="E8" s="37" t="s">
        <v>51</v>
      </c>
      <c r="F8" s="152">
        <v>2.68</v>
      </c>
      <c r="G8" s="150"/>
      <c r="H8" s="39"/>
      <c r="I8" s="39"/>
      <c r="J8" s="39"/>
      <c r="K8" s="39"/>
      <c r="L8" s="39"/>
      <c r="M8" s="39"/>
      <c r="N8" s="39"/>
      <c r="O8" s="39"/>
      <c r="P8" s="39"/>
      <c r="Q8" s="39"/>
      <c r="R8" s="39"/>
      <c r="S8" s="39"/>
      <c r="T8" s="39"/>
      <c r="U8" s="39"/>
      <c r="V8" s="149"/>
    </row>
    <row r="9" spans="1:22" ht="15" customHeight="1" x14ac:dyDescent="0.25">
      <c r="A9" s="6" t="s">
        <v>61</v>
      </c>
      <c r="B9" s="6"/>
      <c r="C9" s="4" t="s">
        <v>62</v>
      </c>
      <c r="D9" s="6" t="s">
        <v>346</v>
      </c>
      <c r="E9" s="6" t="s">
        <v>63</v>
      </c>
      <c r="F9" s="6" t="s">
        <v>64</v>
      </c>
      <c r="G9" s="6" t="s">
        <v>65</v>
      </c>
      <c r="H9" s="6" t="s">
        <v>66</v>
      </c>
      <c r="I9" s="6" t="s">
        <v>347</v>
      </c>
      <c r="J9" s="6"/>
      <c r="K9" s="6" t="s">
        <v>348</v>
      </c>
      <c r="L9" s="6" t="s">
        <v>349</v>
      </c>
      <c r="M9" s="6"/>
      <c r="N9" s="6"/>
      <c r="O9" s="6"/>
      <c r="P9" s="6"/>
      <c r="Q9" s="4" t="s">
        <v>70</v>
      </c>
      <c r="R9" s="4"/>
      <c r="S9" s="4"/>
      <c r="T9" s="6" t="s">
        <v>71</v>
      </c>
      <c r="U9" s="6" t="s">
        <v>350</v>
      </c>
      <c r="V9" s="6" t="s">
        <v>351</v>
      </c>
    </row>
    <row r="10" spans="1:22" ht="30" customHeight="1" x14ac:dyDescent="0.25">
      <c r="A10" s="6"/>
      <c r="B10" s="6"/>
      <c r="C10" s="4"/>
      <c r="D10" s="6"/>
      <c r="E10" s="6"/>
      <c r="F10" s="6"/>
      <c r="G10" s="6"/>
      <c r="H10" s="6"/>
      <c r="I10" s="37" t="s">
        <v>74</v>
      </c>
      <c r="J10" s="37" t="s">
        <v>75</v>
      </c>
      <c r="K10" s="6"/>
      <c r="L10" s="51" t="s">
        <v>76</v>
      </c>
      <c r="M10" s="51" t="s">
        <v>352</v>
      </c>
      <c r="N10" s="51" t="s">
        <v>353</v>
      </c>
      <c r="O10" s="51" t="s">
        <v>79</v>
      </c>
      <c r="P10" s="51" t="s">
        <v>80</v>
      </c>
      <c r="Q10" s="52" t="s">
        <v>81</v>
      </c>
      <c r="R10" s="53" t="s">
        <v>82</v>
      </c>
      <c r="S10" s="53" t="s">
        <v>83</v>
      </c>
      <c r="T10" s="6"/>
      <c r="U10" s="6"/>
      <c r="V10" s="6"/>
    </row>
    <row r="11" spans="1:22" ht="30" customHeight="1" x14ac:dyDescent="0.25">
      <c r="A11" s="37" t="s">
        <v>84</v>
      </c>
      <c r="B11" s="54" t="s">
        <v>354</v>
      </c>
      <c r="C11" s="54">
        <v>40.26</v>
      </c>
      <c r="D11" s="48" t="s">
        <v>355</v>
      </c>
      <c r="E11" s="48" t="s">
        <v>319</v>
      </c>
      <c r="F11" s="48" t="s">
        <v>87</v>
      </c>
      <c r="G11" s="48" t="s">
        <v>276</v>
      </c>
      <c r="H11" s="48" t="s">
        <v>89</v>
      </c>
      <c r="I11" s="54">
        <v>1</v>
      </c>
      <c r="J11" s="54">
        <v>0</v>
      </c>
      <c r="K11" s="56">
        <v>286.83</v>
      </c>
      <c r="L11" s="56">
        <v>5</v>
      </c>
      <c r="M11" s="56">
        <v>0</v>
      </c>
      <c r="N11" s="56">
        <v>80</v>
      </c>
      <c r="O11" s="56">
        <v>0</v>
      </c>
      <c r="P11" s="56">
        <v>0</v>
      </c>
      <c r="Q11" s="57" t="s">
        <v>27</v>
      </c>
      <c r="R11" s="57"/>
      <c r="S11" s="142">
        <f>IF(OR(Q11="RSA parent isolé",R11="RSA parent isolé"),IF(I11+J11=1,Ressources!$F$8,IF(I11+J11=2,Ressources!$G$8,IF(I11+J11=3,Ressources!$H$8,IF(I11+J11&gt;3,Ressources!$H$8+(I11+J11-3)*Ressources!$I$8,0)))),IF(AND(Q11="ASPA",R11="ASPA"),Ressources!$F$17,IF(AND('Saisie immeuble'!R11="RSA socle",'Saisie immeuble'!Q11="RSA socle"),IF(('Saisie immeuble'!I11+'Saisie immeuble'!J11)&gt;5,Ressources!$I$4+Ressources!$J$4*(('Saisie immeuble'!I11+'Saisie immeuble'!J11)-5),IF(('Saisie immeuble'!I11+'Saisie immeuble'!J11)=2,Ressources!$F$4,IF(('Saisie immeuble'!I11+'Saisie immeuble'!J11)=3,Ressources!$G$4,IF(('Saisie immeuble'!I11+'Saisie immeuble'!J11)=4,Ressources!$H$4,IF(('Saisie immeuble'!I11+'Saisie immeuble'!J11)=5,Ressources!$I$4,0))))), IF(OR(AND('Saisie immeuble'!R11="RSA socle",'Saisie immeuble'!Q11&lt;&gt;"RSA socle"),AND('Saisie immeuble'!Q11="RSA socle",'Saisie immeuble'!R11&lt;&gt;"RSA socle")),IF(('Saisie immeuble'!I11+'Saisie immeuble'!J11)&gt;4,Ressources!$I$3+Ressources!$J$3*(('Saisie immeuble'!I11+'Saisie immeuble'!J11)-4),IF(('Saisie immeuble'!I11+'Saisie immeuble'!J11)=1,Ressources!$F$3,IF(('Saisie immeuble'!I11+'Saisie immeuble'!J11)=2,Ressources!$G$3,IF(('Saisie immeuble'!I11+'Saisie immeuble'!J11)=3,Ressources!$H$3,IF(('Saisie immeuble'!I11+'Saisie immeuble'!J11)=4,Ressources!$I$3,0))))))+IF(Q11=Ressources!$A$3,Ressources!$B$3,IF(Q11=Ressources!$A$5,Ressources!$B$5,IF(Q11=Ressources!$A$6,Ressources!$B$6,IF(Q11=Ressources!$A$7,Ressources!$B$7,IF(Q11=Ressources!$A$8,Ressources!$B$8,IF(Q11=Ressources!$A$9,Ressources!$B$9,IF(Q11=Ressources!$A$10,Ressources!$B$10,IF(Q11=Ressources!$A$11,Ressources!$B$11,0))))))))+IF(R11=Ressources!$A$3,Ressources!$B$3,IF(R11=Ressources!$A$5,Ressources!$B$5,IF(R11=Ressources!$A$6,Ressources!$B$6,IF(R11=Ressources!$A$7,Ressources!$B$7,IF(R11=Ressources!$A$8,Ressources!$B$8,IF(R11=Ressources!$A$9,Ressources!$B$9,IF(R11=Ressources!$A$10,Ressources!$B$10,IF(R11=Ressources!$A$11,Ressources!$B$11,0)))))))))))</f>
        <v>497</v>
      </c>
      <c r="T11" s="142">
        <f>IF(AND(Q11&lt;&gt;0,R11&lt;&gt;0),IF((I11+J11)&gt;6,Ressources!$H$12+(I11+J11-6)*Ressources!$I$12+('Saisie immeuble'!I11-2)*Ressources!$I$13,IF((I11+J11)=6,Ressources!$H$12+('Saisie immeuble'!I11-2)*Ressources!$H$13,IF((I11+J11)=5,Ressources!$G$12+('Saisie immeuble'!I11-2)*Ressources!$G$13,IF((I11+J11)=4,Ressources!$F$12+('Saisie immeuble'!I11-2)*Ressources!$F$13,0)))),IF(OR(Q11=0,R11=0),IF((I11+J11)&gt;5,Ressources!$H$12+(I11+J11-5)*Ressources!$I$12+('Saisie immeuble'!I11-1)*Ressources!$I$13,IF((I11+J11)=5,Ressources!$H$12+('Saisie immeuble'!I11-1)*Ressources!$H$13,IF((I11+J11)=4,Ressources!$G$12+('Saisie immeuble'!I11-1)*Ressources!$G$13,IF((I11+J11)=3,Ressources!$F$12+('Saisie immeuble'!I11-1)*Ressources!$F$13,0))))))</f>
        <v>0</v>
      </c>
      <c r="U11" s="142">
        <f>IF(ISERROR('Cheque Energie'!G24),0,'Cheque Energie'!G24)</f>
        <v>194</v>
      </c>
      <c r="V11" s="56">
        <v>166</v>
      </c>
    </row>
    <row r="12" spans="1:22" ht="30" customHeight="1" x14ac:dyDescent="0.25">
      <c r="A12" s="37" t="s">
        <v>90</v>
      </c>
      <c r="B12" s="54" t="s">
        <v>356</v>
      </c>
      <c r="C12" s="54">
        <v>64.400000000000006</v>
      </c>
      <c r="D12" s="48" t="s">
        <v>355</v>
      </c>
      <c r="E12" s="48" t="s">
        <v>319</v>
      </c>
      <c r="F12" s="48" t="s">
        <v>87</v>
      </c>
      <c r="G12" s="48" t="s">
        <v>276</v>
      </c>
      <c r="H12" s="48" t="s">
        <v>89</v>
      </c>
      <c r="I12" s="54">
        <v>1</v>
      </c>
      <c r="J12" s="54">
        <v>1</v>
      </c>
      <c r="K12" s="56">
        <v>447</v>
      </c>
      <c r="L12" s="56">
        <v>5</v>
      </c>
      <c r="M12" s="56"/>
      <c r="N12" s="56">
        <v>80</v>
      </c>
      <c r="O12" s="56"/>
      <c r="P12" s="56"/>
      <c r="Q12" s="57" t="s">
        <v>21</v>
      </c>
      <c r="R12" s="57"/>
      <c r="S12" s="142">
        <f>IF(OR(Q12="RSA parent isolé",R12="RSA parent isolé"),IF(I12+J12=1,Ressources!$F$8,IF(I12+J12=2,Ressources!$G$8,IF(I12+J12=3,Ressources!$H$8,IF(I12+J12&gt;3,Ressources!$H$8+(I12+J12-3)*Ressources!$I$8,0)))),IF(AND(Q12="ASPA",R12="ASPA"),Ressources!$F$17,IF(AND('Saisie immeuble'!R12="RSA socle",'Saisie immeuble'!Q12="RSA socle"),IF(('Saisie immeuble'!I12+'Saisie immeuble'!J12)&gt;5,Ressources!$I$4+Ressources!$J$4*(('Saisie immeuble'!I12+'Saisie immeuble'!J12)-5),IF(('Saisie immeuble'!I12+'Saisie immeuble'!J12)=2,Ressources!$F$4,IF(('Saisie immeuble'!I12+'Saisie immeuble'!J12)=3,Ressources!$G$4,IF(('Saisie immeuble'!I12+'Saisie immeuble'!J12)=4,Ressources!$H$4,IF(('Saisie immeuble'!I12+'Saisie immeuble'!J12)=5,Ressources!$I$4,0))))), IF(OR(AND('Saisie immeuble'!R12="RSA socle",'Saisie immeuble'!Q12&lt;&gt;"RSA socle"),AND('Saisie immeuble'!Q12="RSA socle",'Saisie immeuble'!R12&lt;&gt;"RSA socle")),IF(('Saisie immeuble'!I12+'Saisie immeuble'!J12)&gt;4,Ressources!$I$3+Ressources!$J$3*(('Saisie immeuble'!I12+'Saisie immeuble'!J12)-4),IF(('Saisie immeuble'!I12+'Saisie immeuble'!J12)=1,Ressources!$F$3,IF(('Saisie immeuble'!I12+'Saisie immeuble'!J12)=2,Ressources!$G$3,IF(('Saisie immeuble'!I12+'Saisie immeuble'!J12)=3,Ressources!$H$3,IF(('Saisie immeuble'!I12+'Saisie immeuble'!J12)=4,Ressources!$I$3,0))))))+IF(Q12=Ressources!$A$3,Ressources!$B$3,IF(Q12=Ressources!$A$5,Ressources!$B$5,IF(Q12=Ressources!$A$6,Ressources!$B$6,IF(Q12=Ressources!$A$7,Ressources!$B$7,IF(Q12=Ressources!$A$8,Ressources!$B$8,IF(Q12=Ressources!$A$9,Ressources!$B$9,IF(Q12=Ressources!$A$10,Ressources!$B$10,IF(Q12=Ressources!$A$11,Ressources!$B$11,0))))))))+IF(R12=Ressources!$A$3,Ressources!$B$3,IF(R12=Ressources!$A$5,Ressources!$B$5,IF(R12=Ressources!$A$6,Ressources!$B$6,IF(R12=Ressources!$A$7,Ressources!$B$7,IF(R12=Ressources!$A$8,Ressources!$B$8,IF(R12=Ressources!$A$9,Ressources!$B$9,IF(R12=Ressources!$A$10,Ressources!$B$10,IF(R12=Ressources!$A$11,Ressources!$B$11,0)))))))))))</f>
        <v>831</v>
      </c>
      <c r="T12" s="142">
        <f>IF(AND(Q12&lt;&gt;0,R12&lt;&gt;0),IF((I12+J12)&gt;6,Ressources!$H$12+(I12+J12-6)*Ressources!$I$12+('Saisie immeuble'!I12-2)*Ressources!$I$13,IF((I12+J12)=6,Ressources!$H$12+('Saisie immeuble'!I12-2)*Ressources!$H$13,IF((I12+J12)=5,Ressources!$G$12+('Saisie immeuble'!I12-2)*Ressources!$G$13,IF((I12+J12)=4,Ressources!$F$12+('Saisie immeuble'!I12-2)*Ressources!$F$13,0)))),IF(OR(Q12=0,R12=0),IF((I12+J12)&gt;5,Ressources!$H$12+(I12+J12-5)*Ressources!$I$12+('Saisie immeuble'!I12-1)*Ressources!$I$13,IF((I12+J12)=5,Ressources!$H$12+('Saisie immeuble'!I12-1)*Ressources!$H$13,IF((I12+J12)=4,Ressources!$G$12+('Saisie immeuble'!I12-1)*Ressources!$G$13,IF((I12+J12)=3,Ressources!$F$12+('Saisie immeuble'!I12-1)*Ressources!$F$13,0))))))</f>
        <v>0</v>
      </c>
      <c r="U12" s="142">
        <f>IF(ISERROR('Cheque Energie'!G25),0,'Cheque Energie'!G25)</f>
        <v>113</v>
      </c>
      <c r="V12" s="56">
        <v>202</v>
      </c>
    </row>
    <row r="13" spans="1:22" ht="30" customHeight="1" x14ac:dyDescent="0.25">
      <c r="A13" s="37" t="s">
        <v>91</v>
      </c>
      <c r="B13" s="54" t="s">
        <v>357</v>
      </c>
      <c r="C13" s="54">
        <v>32.35</v>
      </c>
      <c r="D13" s="48" t="s">
        <v>358</v>
      </c>
      <c r="E13" s="48" t="s">
        <v>319</v>
      </c>
      <c r="F13" s="48" t="s">
        <v>87</v>
      </c>
      <c r="G13" s="48" t="s">
        <v>276</v>
      </c>
      <c r="H13" s="48" t="s">
        <v>89</v>
      </c>
      <c r="I13" s="54">
        <v>1</v>
      </c>
      <c r="J13" s="54">
        <v>0</v>
      </c>
      <c r="K13" s="56">
        <f>7.14*C13</f>
        <v>230.97900000000001</v>
      </c>
      <c r="L13" s="56">
        <v>5</v>
      </c>
      <c r="M13" s="56"/>
      <c r="N13" s="56">
        <v>80</v>
      </c>
      <c r="O13" s="56">
        <v>212</v>
      </c>
      <c r="P13" s="56"/>
      <c r="Q13" s="57" t="s">
        <v>27</v>
      </c>
      <c r="R13" s="57"/>
      <c r="S13" s="142">
        <f>IF(OR(Q13="RSA parent isolé",R13="RSA parent isolé"),IF(I13+J13=1,Ressources!$F$8,IF(I13+J13=2,Ressources!$G$8,IF(I13+J13=3,Ressources!$H$8,IF(I13+J13&gt;3,Ressources!$H$8+(I13+J13-3)*Ressources!$I$8,0)))),IF(AND(Q13="ASPA",R13="ASPA"),Ressources!$F$17,IF(AND('Saisie immeuble'!R13="RSA socle",'Saisie immeuble'!Q13="RSA socle"),IF(('Saisie immeuble'!I13+'Saisie immeuble'!J13)&gt;5,Ressources!$I$4+Ressources!$J$4*(('Saisie immeuble'!I13+'Saisie immeuble'!J13)-5),IF(('Saisie immeuble'!I13+'Saisie immeuble'!J13)=2,Ressources!$F$4,IF(('Saisie immeuble'!I13+'Saisie immeuble'!J13)=3,Ressources!$G$4,IF(('Saisie immeuble'!I13+'Saisie immeuble'!J13)=4,Ressources!$H$4,IF(('Saisie immeuble'!I13+'Saisie immeuble'!J13)=5,Ressources!$I$4,0))))), IF(OR(AND('Saisie immeuble'!R13="RSA socle",'Saisie immeuble'!Q13&lt;&gt;"RSA socle"),AND('Saisie immeuble'!Q13="RSA socle",'Saisie immeuble'!R13&lt;&gt;"RSA socle")),IF(('Saisie immeuble'!I13+'Saisie immeuble'!J13)&gt;4,Ressources!$I$3+Ressources!$J$3*(('Saisie immeuble'!I13+'Saisie immeuble'!J13)-4),IF(('Saisie immeuble'!I13+'Saisie immeuble'!J13)=1,Ressources!$F$3,IF(('Saisie immeuble'!I13+'Saisie immeuble'!J13)=2,Ressources!$G$3,IF(('Saisie immeuble'!I13+'Saisie immeuble'!J13)=3,Ressources!$H$3,IF(('Saisie immeuble'!I13+'Saisie immeuble'!J13)=4,Ressources!$I$3,0))))))+IF(Q13=Ressources!$A$3,Ressources!$B$3,IF(Q13=Ressources!$A$5,Ressources!$B$5,IF(Q13=Ressources!$A$6,Ressources!$B$6,IF(Q13=Ressources!$A$7,Ressources!$B$7,IF(Q13=Ressources!$A$8,Ressources!$B$8,IF(Q13=Ressources!$A$9,Ressources!$B$9,IF(Q13=Ressources!$A$10,Ressources!$B$10,IF(Q13=Ressources!$A$11,Ressources!$B$11,0))))))))+IF(R13=Ressources!$A$3,Ressources!$B$3,IF(R13=Ressources!$A$5,Ressources!$B$5,IF(R13=Ressources!$A$6,Ressources!$B$6,IF(R13=Ressources!$A$7,Ressources!$B$7,IF(R13=Ressources!$A$8,Ressources!$B$8,IF(R13=Ressources!$A$9,Ressources!$B$9,IF(R13=Ressources!$A$10,Ressources!$B$10,IF(R13=Ressources!$A$11,Ressources!$B$11,0)))))))))))</f>
        <v>497</v>
      </c>
      <c r="T13" s="142">
        <f>IF(AND(Q13&lt;&gt;0,R13&lt;&gt;0),IF((I13+J13)&gt;6,Ressources!$H$12+(I13+J13-6)*Ressources!$I$12+('Saisie immeuble'!I13-2)*Ressources!$I$13,IF((I13+J13)=6,Ressources!$H$12+('Saisie immeuble'!I13-2)*Ressources!$H$13,IF((I13+J13)=5,Ressources!$G$12+('Saisie immeuble'!I13-2)*Ressources!$G$13,IF((I13+J13)=4,Ressources!$F$12+('Saisie immeuble'!I13-2)*Ressources!$F$13,0)))),IF(OR(Q13=0,R13=0),IF((I13+J13)&gt;5,Ressources!$H$12+(I13+J13-5)*Ressources!$I$12+('Saisie immeuble'!I13-1)*Ressources!$I$13,IF((I13+J13)=5,Ressources!$H$12+('Saisie immeuble'!I13-1)*Ressources!$H$13,IF((I13+J13)=4,Ressources!$G$12+('Saisie immeuble'!I13-1)*Ressources!$G$13,IF((I13+J13)=3,Ressources!$F$12+('Saisie immeuble'!I13-1)*Ressources!$F$13,0))))))</f>
        <v>0</v>
      </c>
      <c r="U13" s="142">
        <f>IF(ISERROR('Cheque Energie'!G26),0,'Cheque Energie'!G26)</f>
        <v>194</v>
      </c>
      <c r="V13" s="56">
        <v>160</v>
      </c>
    </row>
    <row r="14" spans="1:22" ht="30" customHeight="1" x14ac:dyDescent="0.25">
      <c r="A14" s="37" t="s">
        <v>92</v>
      </c>
      <c r="B14" s="54" t="s">
        <v>359</v>
      </c>
      <c r="C14" s="54">
        <v>31.7</v>
      </c>
      <c r="D14" s="48" t="s">
        <v>358</v>
      </c>
      <c r="E14" s="48" t="s">
        <v>319</v>
      </c>
      <c r="F14" s="48" t="s">
        <v>87</v>
      </c>
      <c r="G14" s="48" t="s">
        <v>276</v>
      </c>
      <c r="H14" s="48" t="s">
        <v>89</v>
      </c>
      <c r="I14" s="54">
        <v>1</v>
      </c>
      <c r="J14" s="54">
        <v>0</v>
      </c>
      <c r="K14" s="56">
        <f>7.14*31.7</f>
        <v>226.33799999999999</v>
      </c>
      <c r="L14" s="56">
        <v>5</v>
      </c>
      <c r="M14" s="56"/>
      <c r="N14" s="56">
        <v>80</v>
      </c>
      <c r="O14" s="56">
        <v>209</v>
      </c>
      <c r="P14" s="56"/>
      <c r="Q14" s="57" t="s">
        <v>360</v>
      </c>
      <c r="R14" s="57"/>
      <c r="S14" s="142">
        <f>IF(OR(Q14="RSA parent isolé",R14="RSA parent isolé"),IF(I14+J14=1,Ressources!$F$8,IF(I14+J14=2,Ressources!$G$8,IF(I14+J14=3,Ressources!$H$8,IF(I14+J14&gt;3,Ressources!$H$8+(I14+J14-3)*Ressources!$I$8,0)))),IF(AND(Q14="ASPA",R14="ASPA"),Ressources!$F$17,IF(AND('Saisie immeuble'!R14="RSA socle",'Saisie immeuble'!Q14="RSA socle"),IF(('Saisie immeuble'!I14+'Saisie immeuble'!J14)&gt;5,Ressources!$I$4+Ressources!$J$4*(('Saisie immeuble'!I14+'Saisie immeuble'!J14)-5),IF(('Saisie immeuble'!I14+'Saisie immeuble'!J14)=2,Ressources!$F$4,IF(('Saisie immeuble'!I14+'Saisie immeuble'!J14)=3,Ressources!$G$4,IF(('Saisie immeuble'!I14+'Saisie immeuble'!J14)=4,Ressources!$H$4,IF(('Saisie immeuble'!I14+'Saisie immeuble'!J14)=5,Ressources!$I$4,0))))), IF(OR(AND('Saisie immeuble'!R14="RSA socle",'Saisie immeuble'!Q14&lt;&gt;"RSA socle"),AND('Saisie immeuble'!Q14="RSA socle",'Saisie immeuble'!R14&lt;&gt;"RSA socle")),IF(('Saisie immeuble'!I14+'Saisie immeuble'!J14)&gt;4,Ressources!$I$3+Ressources!$J$3*(('Saisie immeuble'!I14+'Saisie immeuble'!J14)-4),IF(('Saisie immeuble'!I14+'Saisie immeuble'!J14)=1,Ressources!$F$3,IF(('Saisie immeuble'!I14+'Saisie immeuble'!J14)=2,Ressources!$G$3,IF(('Saisie immeuble'!I14+'Saisie immeuble'!J14)=3,Ressources!$H$3,IF(('Saisie immeuble'!I14+'Saisie immeuble'!J14)=4,Ressources!$I$3,0))))))+IF(Q14=Ressources!$A$3,Ressources!$B$3,IF(Q14=Ressources!$A$5,Ressources!$B$5,IF(Q14=Ressources!$A$6,Ressources!$B$6,IF(Q14=Ressources!$A$7,Ressources!$B$7,IF(Q14=Ressources!$A$8,Ressources!$B$8,IF(Q14=Ressources!$A$9,Ressources!$B$9,IF(Q14=Ressources!$A$10,Ressources!$B$10,IF(Q14=Ressources!$A$11,Ressources!$B$11,0))))))))+IF(R14=Ressources!$A$3,Ressources!$B$3,IF(R14=Ressources!$A$5,Ressources!$B$5,IF(R14=Ressources!$A$6,Ressources!$B$6,IF(R14=Ressources!$A$7,Ressources!$B$7,IF(R14=Ressources!$A$8,Ressources!$B$8,IF(R14=Ressources!$A$9,Ressources!$B$9,IF(R14=Ressources!$A$10,Ressources!$B$10,IF(R14=Ressources!$A$11,Ressources!$B$11,0)))))))))))</f>
        <v>650</v>
      </c>
      <c r="T14" s="142">
        <f>IF(AND(Q14&lt;&gt;0,R14&lt;&gt;0),IF((I14+J14)&gt;6,Ressources!$H$12+(I14+J14-6)*Ressources!$I$12+('Saisie immeuble'!I14-2)*Ressources!$I$13,IF((I14+J14)=6,Ressources!$H$12+('Saisie immeuble'!I14-2)*Ressources!$H$13,IF((I14+J14)=5,Ressources!$G$12+('Saisie immeuble'!I14-2)*Ressources!$G$13,IF((I14+J14)=4,Ressources!$F$12+('Saisie immeuble'!I14-2)*Ressources!$F$13,0)))),IF(OR(Q14=0,R14=0),IF((I14+J14)&gt;5,Ressources!$H$12+(I14+J14-5)*Ressources!$I$12+('Saisie immeuble'!I14-1)*Ressources!$I$13,IF((I14+J14)=5,Ressources!$H$12+('Saisie immeuble'!I14-1)*Ressources!$H$13,IF((I14+J14)=4,Ressources!$G$12+('Saisie immeuble'!I14-1)*Ressources!$G$13,IF((I14+J14)=3,Ressources!$F$12+('Saisie immeuble'!I14-1)*Ressources!$F$13,0))))))</f>
        <v>0</v>
      </c>
      <c r="U14" s="142">
        <f>IF(ISERROR('Cheque Energie'!G27),0,'Cheque Energie'!G27)</f>
        <v>98</v>
      </c>
      <c r="V14" s="56">
        <v>157</v>
      </c>
    </row>
    <row r="15" spans="1:22" ht="30" customHeight="1" x14ac:dyDescent="0.25">
      <c r="A15" s="37" t="s">
        <v>93</v>
      </c>
      <c r="B15" s="54" t="s">
        <v>361</v>
      </c>
      <c r="C15" s="54">
        <v>59.49</v>
      </c>
      <c r="D15" s="48" t="s">
        <v>358</v>
      </c>
      <c r="E15" s="48" t="s">
        <v>319</v>
      </c>
      <c r="F15" s="48" t="s">
        <v>87</v>
      </c>
      <c r="G15" s="48" t="s">
        <v>276</v>
      </c>
      <c r="H15" s="48" t="s">
        <v>89</v>
      </c>
      <c r="I15" s="54">
        <v>1</v>
      </c>
      <c r="J15" s="54">
        <v>0</v>
      </c>
      <c r="K15" s="56">
        <v>407.12</v>
      </c>
      <c r="L15" s="56">
        <v>5</v>
      </c>
      <c r="M15" s="56"/>
      <c r="N15" s="56">
        <v>80</v>
      </c>
      <c r="O15" s="56"/>
      <c r="P15" s="56"/>
      <c r="Q15" s="57" t="s">
        <v>27</v>
      </c>
      <c r="R15" s="57"/>
      <c r="S15" s="142">
        <f>IF(OR(Q15="RSA parent isolé",R15="RSA parent isolé"),IF(I15+J15=1,Ressources!$F$8,IF(I15+J15=2,Ressources!$G$8,IF(I15+J15=3,Ressources!$H$8,IF(I15+J15&gt;3,Ressources!$H$8+(I15+J15-3)*Ressources!$I$8,0)))),IF(AND(Q15="ASPA",R15="ASPA"),Ressources!$F$17,IF(AND('Saisie immeuble'!R15="RSA socle",'Saisie immeuble'!Q15="RSA socle"),IF(('Saisie immeuble'!I15+'Saisie immeuble'!J15)&gt;5,Ressources!$I$4+Ressources!$J$4*(('Saisie immeuble'!I15+'Saisie immeuble'!J15)-5),IF(('Saisie immeuble'!I15+'Saisie immeuble'!J15)=2,Ressources!$F$4,IF(('Saisie immeuble'!I15+'Saisie immeuble'!J15)=3,Ressources!$G$4,IF(('Saisie immeuble'!I15+'Saisie immeuble'!J15)=4,Ressources!$H$4,IF(('Saisie immeuble'!I15+'Saisie immeuble'!J15)=5,Ressources!$I$4,0))))), IF(OR(AND('Saisie immeuble'!R15="RSA socle",'Saisie immeuble'!Q15&lt;&gt;"RSA socle"),AND('Saisie immeuble'!Q15="RSA socle",'Saisie immeuble'!R15&lt;&gt;"RSA socle")),IF(('Saisie immeuble'!I15+'Saisie immeuble'!J15)&gt;4,Ressources!$I$3+Ressources!$J$3*(('Saisie immeuble'!I15+'Saisie immeuble'!J15)-4),IF(('Saisie immeuble'!I15+'Saisie immeuble'!J15)=1,Ressources!$F$3,IF(('Saisie immeuble'!I15+'Saisie immeuble'!J15)=2,Ressources!$G$3,IF(('Saisie immeuble'!I15+'Saisie immeuble'!J15)=3,Ressources!$H$3,IF(('Saisie immeuble'!I15+'Saisie immeuble'!J15)=4,Ressources!$I$3,0))))))+IF(Q15=Ressources!$A$3,Ressources!$B$3,IF(Q15=Ressources!$A$5,Ressources!$B$5,IF(Q15=Ressources!$A$6,Ressources!$B$6,IF(Q15=Ressources!$A$7,Ressources!$B$7,IF(Q15=Ressources!$A$8,Ressources!$B$8,IF(Q15=Ressources!$A$9,Ressources!$B$9,IF(Q15=Ressources!$A$10,Ressources!$B$10,IF(Q15=Ressources!$A$11,Ressources!$B$11,0))))))))+IF(R15=Ressources!$A$3,Ressources!$B$3,IF(R15=Ressources!$A$5,Ressources!$B$5,IF(R15=Ressources!$A$6,Ressources!$B$6,IF(R15=Ressources!$A$7,Ressources!$B$7,IF(R15=Ressources!$A$8,Ressources!$B$8,IF(R15=Ressources!$A$9,Ressources!$B$9,IF(R15=Ressources!$A$10,Ressources!$B$10,IF(R15=Ressources!$A$11,Ressources!$B$11,0)))))))))))</f>
        <v>497</v>
      </c>
      <c r="T15" s="142">
        <f>IF(AND(Q15&lt;&gt;0,R15&lt;&gt;0),IF((I15+J15)&gt;6,Ressources!$H$12+(I15+J15-6)*Ressources!$I$12+('Saisie immeuble'!I15-2)*Ressources!$I$13,IF((I15+J15)=6,Ressources!$H$12+('Saisie immeuble'!I15-2)*Ressources!$H$13,IF((I15+J15)=5,Ressources!$G$12+('Saisie immeuble'!I15-2)*Ressources!$G$13,IF((I15+J15)=4,Ressources!$F$12+('Saisie immeuble'!I15-2)*Ressources!$F$13,0)))),IF(OR(Q15=0,R15=0),IF((I15+J15)&gt;5,Ressources!$H$12+(I15+J15-5)*Ressources!$I$12+('Saisie immeuble'!I15-1)*Ressources!$I$13,IF((I15+J15)=5,Ressources!$H$12+('Saisie immeuble'!I15-1)*Ressources!$H$13,IF((I15+J15)=4,Ressources!$G$12+('Saisie immeuble'!I15-1)*Ressources!$G$13,IF((I15+J15)=3,Ressources!$F$12+('Saisie immeuble'!I15-1)*Ressources!$F$13,0))))))</f>
        <v>0</v>
      </c>
      <c r="U15" s="142">
        <f>IF(ISERROR('Cheque Energie'!G28),0,'Cheque Energie'!G28)</f>
        <v>194</v>
      </c>
      <c r="V15" s="56">
        <v>206</v>
      </c>
    </row>
    <row r="16" spans="1:22" ht="30" customHeight="1" x14ac:dyDescent="0.25">
      <c r="A16" s="37" t="s">
        <v>94</v>
      </c>
      <c r="B16" s="54" t="s">
        <v>362</v>
      </c>
      <c r="C16" s="54">
        <v>71</v>
      </c>
      <c r="D16" s="48" t="s">
        <v>358</v>
      </c>
      <c r="E16" s="48" t="s">
        <v>319</v>
      </c>
      <c r="F16" s="48" t="s">
        <v>87</v>
      </c>
      <c r="G16" s="48" t="s">
        <v>276</v>
      </c>
      <c r="H16" s="48" t="s">
        <v>89</v>
      </c>
      <c r="I16" s="54">
        <v>1</v>
      </c>
      <c r="J16" s="54">
        <v>1</v>
      </c>
      <c r="K16" s="56">
        <v>488.29</v>
      </c>
      <c r="L16" s="56">
        <v>5</v>
      </c>
      <c r="M16" s="56"/>
      <c r="N16" s="56">
        <v>80</v>
      </c>
      <c r="O16" s="56"/>
      <c r="P16" s="56"/>
      <c r="Q16" s="57" t="s">
        <v>21</v>
      </c>
      <c r="R16" s="57"/>
      <c r="S16" s="142">
        <f>IF(OR(Q16="RSA parent isolé",R16="RSA parent isolé"),IF(I16+J16=1,Ressources!$F$8,IF(I16+J16=2,Ressources!$G$8,IF(I16+J16=3,Ressources!$H$8,IF(I16+J16&gt;3,Ressources!$H$8+(I16+J16-3)*Ressources!$I$8,0)))),IF(AND(Q16="ASPA",R16="ASPA"),Ressources!$F$17,IF(AND('Saisie immeuble'!R16="RSA socle",'Saisie immeuble'!Q16="RSA socle"),IF(('Saisie immeuble'!I16+'Saisie immeuble'!J16)&gt;5,Ressources!$I$4+Ressources!$J$4*(('Saisie immeuble'!I16+'Saisie immeuble'!J16)-5),IF(('Saisie immeuble'!I16+'Saisie immeuble'!J16)=2,Ressources!$F$4,IF(('Saisie immeuble'!I16+'Saisie immeuble'!J16)=3,Ressources!$G$4,IF(('Saisie immeuble'!I16+'Saisie immeuble'!J16)=4,Ressources!$H$4,IF(('Saisie immeuble'!I16+'Saisie immeuble'!J16)=5,Ressources!$I$4,0))))), IF(OR(AND('Saisie immeuble'!R16="RSA socle",'Saisie immeuble'!Q16&lt;&gt;"RSA socle"),AND('Saisie immeuble'!Q16="RSA socle",'Saisie immeuble'!R16&lt;&gt;"RSA socle")),IF(('Saisie immeuble'!I16+'Saisie immeuble'!J16)&gt;4,Ressources!$I$3+Ressources!$J$3*(('Saisie immeuble'!I16+'Saisie immeuble'!J16)-4),IF(('Saisie immeuble'!I16+'Saisie immeuble'!J16)=1,Ressources!$F$3,IF(('Saisie immeuble'!I16+'Saisie immeuble'!J16)=2,Ressources!$G$3,IF(('Saisie immeuble'!I16+'Saisie immeuble'!J16)=3,Ressources!$H$3,IF(('Saisie immeuble'!I16+'Saisie immeuble'!J16)=4,Ressources!$I$3,0))))))+IF(Q16=Ressources!$A$3,Ressources!$B$3,IF(Q16=Ressources!$A$5,Ressources!$B$5,IF(Q16=Ressources!$A$6,Ressources!$B$6,IF(Q16=Ressources!$A$7,Ressources!$B$7,IF(Q16=Ressources!$A$8,Ressources!$B$8,IF(Q16=Ressources!$A$9,Ressources!$B$9,IF(Q16=Ressources!$A$10,Ressources!$B$10,IF(Q16=Ressources!$A$11,Ressources!$B$11,0))))))))+IF(R16=Ressources!$A$3,Ressources!$B$3,IF(R16=Ressources!$A$5,Ressources!$B$5,IF(R16=Ressources!$A$6,Ressources!$B$6,IF(R16=Ressources!$A$7,Ressources!$B$7,IF(R16=Ressources!$A$8,Ressources!$B$8,IF(R16=Ressources!$A$9,Ressources!$B$9,IF(R16=Ressources!$A$10,Ressources!$B$10,IF(R16=Ressources!$A$11,Ressources!$B$11,0)))))))))))</f>
        <v>831</v>
      </c>
      <c r="T16" s="142">
        <f>IF(AND(Q16&lt;&gt;0,R16&lt;&gt;0),IF((I16+J16)&gt;6,Ressources!$H$12+(I16+J16-6)*Ressources!$I$12+('Saisie immeuble'!I16-2)*Ressources!$I$13,IF((I16+J16)=6,Ressources!$H$12+('Saisie immeuble'!I16-2)*Ressources!$H$13,IF((I16+J16)=5,Ressources!$G$12+('Saisie immeuble'!I16-2)*Ressources!$G$13,IF((I16+J16)=4,Ressources!$F$12+('Saisie immeuble'!I16-2)*Ressources!$F$13,0)))),IF(OR(Q16=0,R16=0),IF((I16+J16)&gt;5,Ressources!$H$12+(I16+J16-5)*Ressources!$I$12+('Saisie immeuble'!I16-1)*Ressources!$I$13,IF((I16+J16)=5,Ressources!$H$12+('Saisie immeuble'!I16-1)*Ressources!$H$13,IF((I16+J16)=4,Ressources!$G$12+('Saisie immeuble'!I16-1)*Ressources!$G$13,IF((I16+J16)=3,Ressources!$F$12+('Saisie immeuble'!I16-1)*Ressources!$F$13,0))))))</f>
        <v>0</v>
      </c>
      <c r="U16" s="142">
        <f>IF(ISERROR('Cheque Energie'!G29),0,'Cheque Energie'!G29)</f>
        <v>113</v>
      </c>
      <c r="V16" s="56">
        <v>202</v>
      </c>
    </row>
    <row r="17" spans="1:22" ht="30" customHeight="1" x14ac:dyDescent="0.25">
      <c r="A17" s="37" t="s">
        <v>95</v>
      </c>
      <c r="B17" s="54" t="s">
        <v>363</v>
      </c>
      <c r="C17" s="54">
        <v>59.63</v>
      </c>
      <c r="D17" s="48" t="s">
        <v>358</v>
      </c>
      <c r="E17" s="48" t="s">
        <v>319</v>
      </c>
      <c r="F17" s="48" t="s">
        <v>87</v>
      </c>
      <c r="G17" s="48" t="s">
        <v>276</v>
      </c>
      <c r="H17" s="48" t="s">
        <v>89</v>
      </c>
      <c r="I17" s="54">
        <v>2</v>
      </c>
      <c r="J17" s="54">
        <v>0</v>
      </c>
      <c r="K17" s="56">
        <v>417</v>
      </c>
      <c r="L17" s="56">
        <v>5</v>
      </c>
      <c r="M17" s="56"/>
      <c r="N17" s="56">
        <v>80</v>
      </c>
      <c r="O17" s="56"/>
      <c r="P17" s="56"/>
      <c r="Q17" s="57" t="s">
        <v>27</v>
      </c>
      <c r="R17" s="57" t="s">
        <v>27</v>
      </c>
      <c r="S17" s="142">
        <f>IF(OR(Q17="RSA parent isolé",R17="RSA parent isolé"),IF(I17+J17=1,Ressources!$F$8,IF(I17+J17=2,Ressources!$G$8,IF(I17+J17=3,Ressources!$H$8,IF(I17+J17&gt;3,Ressources!$H$8+(I17+J17-3)*Ressources!$I$8,0)))),IF(AND(Q17="ASPA",R17="ASPA"),Ressources!$F$17,IF(AND('Saisie immeuble'!R17="RSA socle",'Saisie immeuble'!Q17="RSA socle"),IF(('Saisie immeuble'!I17+'Saisie immeuble'!J17)&gt;5,Ressources!$I$4+Ressources!$J$4*(('Saisie immeuble'!I17+'Saisie immeuble'!J17)-5),IF(('Saisie immeuble'!I17+'Saisie immeuble'!J17)=2,Ressources!$F$4,IF(('Saisie immeuble'!I17+'Saisie immeuble'!J17)=3,Ressources!$G$4,IF(('Saisie immeuble'!I17+'Saisie immeuble'!J17)=4,Ressources!$H$4,IF(('Saisie immeuble'!I17+'Saisie immeuble'!J17)=5,Ressources!$I$4,0))))), IF(OR(AND('Saisie immeuble'!R17="RSA socle",'Saisie immeuble'!Q17&lt;&gt;"RSA socle"),AND('Saisie immeuble'!Q17="RSA socle",'Saisie immeuble'!R17&lt;&gt;"RSA socle")),IF(('Saisie immeuble'!I17+'Saisie immeuble'!J17)&gt;4,Ressources!$I$3+Ressources!$J$3*(('Saisie immeuble'!I17+'Saisie immeuble'!J17)-4),IF(('Saisie immeuble'!I17+'Saisie immeuble'!J17)=1,Ressources!$F$3,IF(('Saisie immeuble'!I17+'Saisie immeuble'!J17)=2,Ressources!$G$3,IF(('Saisie immeuble'!I17+'Saisie immeuble'!J17)=3,Ressources!$H$3,IF(('Saisie immeuble'!I17+'Saisie immeuble'!J17)=4,Ressources!$I$3,0))))))+IF(Q17=Ressources!$A$3,Ressources!$B$3,IF(Q17=Ressources!$A$5,Ressources!$B$5,IF(Q17=Ressources!$A$6,Ressources!$B$6,IF(Q17=Ressources!$A$7,Ressources!$B$7,IF(Q17=Ressources!$A$8,Ressources!$B$8,IF(Q17=Ressources!$A$9,Ressources!$B$9,IF(Q17=Ressources!$A$10,Ressources!$B$10,IF(Q17=Ressources!$A$11,Ressources!$B$11,0))))))))+IF(R17=Ressources!$A$3,Ressources!$B$3,IF(R17=Ressources!$A$5,Ressources!$B$5,IF(R17=Ressources!$A$6,Ressources!$B$6,IF(R17=Ressources!$A$7,Ressources!$B$7,IF(R17=Ressources!$A$8,Ressources!$B$8,IF(R17=Ressources!$A$9,Ressources!$B$9,IF(R17=Ressources!$A$10,Ressources!$B$10,IF(R17=Ressources!$A$11,Ressources!$B$11,0)))))))))))</f>
        <v>712</v>
      </c>
      <c r="T17" s="142">
        <f>IF(AND(Q17&lt;&gt;0,R17&lt;&gt;0),IF((I17+J17)&gt;6,Ressources!$H$12+(I17+J17-6)*Ressources!$I$12+('Saisie immeuble'!I17-2)*Ressources!$I$13,IF((I17+J17)=6,Ressources!$H$12+('Saisie immeuble'!I17-2)*Ressources!$H$13,IF((I17+J17)=5,Ressources!$G$12+('Saisie immeuble'!I17-2)*Ressources!$G$13,IF((I17+J17)=4,Ressources!$F$12+('Saisie immeuble'!I17-2)*Ressources!$F$13,0)))),IF(OR(Q17=0,R17=0),IF((I17+J17)&gt;5,Ressources!$H$12+(I17+J17-5)*Ressources!$I$12+('Saisie immeuble'!I17-1)*Ressources!$I$13,IF((I17+J17)=5,Ressources!$H$12+('Saisie immeuble'!I17-1)*Ressources!$H$13,IF((I17+J17)=4,Ressources!$G$12+('Saisie immeuble'!I17-1)*Ressources!$G$13,IF((I17+J17)=3,Ressources!$F$12+('Saisie immeuble'!I17-1)*Ressources!$F$13,0))))))</f>
        <v>0</v>
      </c>
      <c r="U17" s="142">
        <f>IF(ISERROR('Cheque Energie'!G30),0,'Cheque Energie'!G30)</f>
        <v>240</v>
      </c>
      <c r="V17" s="56">
        <v>202</v>
      </c>
    </row>
    <row r="18" spans="1:22" ht="30" customHeight="1" x14ac:dyDescent="0.25">
      <c r="A18" s="37" t="s">
        <v>96</v>
      </c>
      <c r="B18" s="54"/>
      <c r="C18" s="54"/>
      <c r="D18" s="48"/>
      <c r="E18" s="48"/>
      <c r="F18" s="153"/>
      <c r="G18" s="48"/>
      <c r="H18" s="48"/>
      <c r="I18" s="54"/>
      <c r="J18" s="54"/>
      <c r="K18" s="56"/>
      <c r="L18" s="56"/>
      <c r="M18" s="56"/>
      <c r="N18" s="56"/>
      <c r="O18" s="56"/>
      <c r="P18" s="56"/>
      <c r="Q18" s="57"/>
      <c r="R18" s="57"/>
      <c r="S18" s="142">
        <f>IF(OR(Q18="RSA parent isolé",R18="RSA parent isolé"),IF(I18+J18=1,Ressources!$F$8,IF(I18+J18=2,Ressources!$G$8,IF(I18+J18=3,Ressources!$H$8,IF(I18+J18&gt;3,Ressources!$H$8+(I18+J18-3)*Ressources!$I$8,0)))),IF(AND(Q18="ASPA",R18="ASPA"),Ressources!$F$17,IF(AND('Saisie immeuble'!R18="RSA socle",'Saisie immeuble'!Q18="RSA socle"),IF(('Saisie immeuble'!I18+'Saisie immeuble'!J18)&gt;5,Ressources!$I$4+Ressources!$J$4*(('Saisie immeuble'!I18+'Saisie immeuble'!J18)-5),IF(('Saisie immeuble'!I18+'Saisie immeuble'!J18)=2,Ressources!$F$4,IF(('Saisie immeuble'!I18+'Saisie immeuble'!J18)=3,Ressources!$G$4,IF(('Saisie immeuble'!I18+'Saisie immeuble'!J18)=4,Ressources!$H$4,IF(('Saisie immeuble'!I18+'Saisie immeuble'!J18)=5,Ressources!$I$4,0))))), IF(OR(AND('Saisie immeuble'!R18="RSA socle",'Saisie immeuble'!Q18&lt;&gt;"RSA socle"),AND('Saisie immeuble'!Q18="RSA socle",'Saisie immeuble'!R18&lt;&gt;"RSA socle")),IF(('Saisie immeuble'!I18+'Saisie immeuble'!J18)&gt;4,Ressources!$I$3+Ressources!$J$3*(('Saisie immeuble'!I18+'Saisie immeuble'!J18)-4),IF(('Saisie immeuble'!I18+'Saisie immeuble'!J18)=1,Ressources!$F$3,IF(('Saisie immeuble'!I18+'Saisie immeuble'!J18)=2,Ressources!$G$3,IF(('Saisie immeuble'!I18+'Saisie immeuble'!J18)=3,Ressources!$H$3,IF(('Saisie immeuble'!I18+'Saisie immeuble'!J18)=4,Ressources!$I$3,0))))))+IF(Q18=Ressources!$A$3,Ressources!$B$3,IF(Q18=Ressources!$A$5,Ressources!$B$5,IF(Q18=Ressources!$A$6,Ressources!$B$6,IF(Q18=Ressources!$A$7,Ressources!$B$7,IF(Q18=Ressources!$A$8,Ressources!$B$8,IF(Q18=Ressources!$A$9,Ressources!$B$9,IF(Q18=Ressources!$A$10,Ressources!$B$10,IF(Q18=Ressources!$A$11,Ressources!$B$11,0))))))))+IF(R18=Ressources!$A$3,Ressources!$B$3,IF(R18=Ressources!$A$5,Ressources!$B$5,IF(R18=Ressources!$A$6,Ressources!$B$6,IF(R18=Ressources!$A$7,Ressources!$B$7,IF(R18=Ressources!$A$8,Ressources!$B$8,IF(R18=Ressources!$A$9,Ressources!$B$9,IF(R18=Ressources!$A$10,Ressources!$B$10,IF(R18=Ressources!$A$11,Ressources!$B$11,0)))))))))))</f>
        <v>0</v>
      </c>
      <c r="T18" s="142">
        <f>IF(AND(Q18&lt;&gt;0,R18&lt;&gt;0),IF((I18+J18)&gt;6,Ressources!$H$12+(I18+J18-6)*Ressources!$I$12+('Saisie immeuble'!I18-2)*Ressources!$I$13,IF((I18+J18)=6,Ressources!$H$12+('Saisie immeuble'!I18-2)*Ressources!$H$13,IF((I18+J18)=5,Ressources!$G$12+('Saisie immeuble'!I18-2)*Ressources!$G$13,IF((I18+J18)=4,Ressources!$F$12+('Saisie immeuble'!I18-2)*Ressources!$F$13,0)))),IF(OR(Q18=0,R18=0),IF((I18+J18)&gt;5,Ressources!$H$12+(I18+J18-5)*Ressources!$I$12+('Saisie immeuble'!I18-1)*Ressources!$I$13,IF((I18+J18)=5,Ressources!$H$12+('Saisie immeuble'!I18-1)*Ressources!$H$13,IF((I18+J18)=4,Ressources!$G$12+('Saisie immeuble'!I18-1)*Ressources!$G$13,IF((I18+J18)=3,Ressources!$F$12+('Saisie immeuble'!I18-1)*Ressources!$F$13,0))))))</f>
        <v>0</v>
      </c>
      <c r="U18" s="142">
        <f>IF(ISERROR('Cheque Energie'!G31),0,'Cheque Energie'!G31)</f>
        <v>0</v>
      </c>
      <c r="V18" s="56"/>
    </row>
    <row r="19" spans="1:22" ht="30" customHeight="1" x14ac:dyDescent="0.25">
      <c r="A19" s="37" t="s">
        <v>97</v>
      </c>
      <c r="B19" s="54"/>
      <c r="C19" s="54"/>
      <c r="D19" s="48"/>
      <c r="E19" s="48"/>
      <c r="F19" s="153"/>
      <c r="G19" s="48"/>
      <c r="H19" s="48"/>
      <c r="I19" s="54"/>
      <c r="J19" s="54"/>
      <c r="K19" s="56"/>
      <c r="L19" s="56"/>
      <c r="M19" s="56"/>
      <c r="N19" s="56"/>
      <c r="O19" s="56"/>
      <c r="P19" s="56"/>
      <c r="Q19" s="57"/>
      <c r="R19" s="57"/>
      <c r="S19" s="142">
        <f>IF(OR(Q19="RSA parent isolé",R19="RSA parent isolé"),IF(I19+J19=1,Ressources!$F$8,IF(I19+J19=2,Ressources!$G$8,IF(I19+J19=3,Ressources!$H$8,IF(I19+J19&gt;3,Ressources!$H$8+(I19+J19-3)*Ressources!$I$8,0)))),IF(AND(Q19="ASPA",R19="ASPA"),Ressources!$F$17,IF(AND('Saisie immeuble'!R19="RSA socle",'Saisie immeuble'!Q19="RSA socle"),IF(('Saisie immeuble'!I19+'Saisie immeuble'!J19)&gt;5,Ressources!$I$4+Ressources!$J$4*(('Saisie immeuble'!I19+'Saisie immeuble'!J19)-5),IF(('Saisie immeuble'!I19+'Saisie immeuble'!J19)=2,Ressources!$F$4,IF(('Saisie immeuble'!I19+'Saisie immeuble'!J19)=3,Ressources!$G$4,IF(('Saisie immeuble'!I19+'Saisie immeuble'!J19)=4,Ressources!$H$4,IF(('Saisie immeuble'!I19+'Saisie immeuble'!J19)=5,Ressources!$I$4,0))))), IF(OR(AND('Saisie immeuble'!R19="RSA socle",'Saisie immeuble'!Q19&lt;&gt;"RSA socle"),AND('Saisie immeuble'!Q19="RSA socle",'Saisie immeuble'!R19&lt;&gt;"RSA socle")),IF(('Saisie immeuble'!I19+'Saisie immeuble'!J19)&gt;4,Ressources!$I$3+Ressources!$J$3*(('Saisie immeuble'!I19+'Saisie immeuble'!J19)-4),IF(('Saisie immeuble'!I19+'Saisie immeuble'!J19)=1,Ressources!$F$3,IF(('Saisie immeuble'!I19+'Saisie immeuble'!J19)=2,Ressources!$G$3,IF(('Saisie immeuble'!I19+'Saisie immeuble'!J19)=3,Ressources!$H$3,IF(('Saisie immeuble'!I19+'Saisie immeuble'!J19)=4,Ressources!$I$3,0))))))+IF(Q19=Ressources!$A$3,Ressources!$B$3,IF(Q19=Ressources!$A$5,Ressources!$B$5,IF(Q19=Ressources!$A$6,Ressources!$B$6,IF(Q19=Ressources!$A$7,Ressources!$B$7,IF(Q19=Ressources!$A$8,Ressources!$B$8,IF(Q19=Ressources!$A$9,Ressources!$B$9,IF(Q19=Ressources!$A$10,Ressources!$B$10,IF(Q19=Ressources!$A$11,Ressources!$B$11,0))))))))+IF(R19=Ressources!$A$3,Ressources!$B$3,IF(R19=Ressources!$A$5,Ressources!$B$5,IF(R19=Ressources!$A$6,Ressources!$B$6,IF(R19=Ressources!$A$7,Ressources!$B$7,IF(R19=Ressources!$A$8,Ressources!$B$8,IF(R19=Ressources!$A$9,Ressources!$B$9,IF(R19=Ressources!$A$10,Ressources!$B$10,IF(R19=Ressources!$A$11,Ressources!$B$11,0)))))))))))</f>
        <v>0</v>
      </c>
      <c r="T19" s="142">
        <f>IF(AND(Q19&lt;&gt;0,R19&lt;&gt;0),IF((I19+J19)&gt;6,Ressources!$H$12+(I19+J19-6)*Ressources!$I$12+('Saisie immeuble'!I19-2)*Ressources!$I$13,IF((I19+J19)=6,Ressources!$H$12+('Saisie immeuble'!I19-2)*Ressources!$H$13,IF((I19+J19)=5,Ressources!$G$12+('Saisie immeuble'!I19-2)*Ressources!$G$13,IF((I19+J19)=4,Ressources!$F$12+('Saisie immeuble'!I19-2)*Ressources!$F$13,0)))),IF(OR(Q19=0,R19=0),IF((I19+J19)&gt;5,Ressources!$H$12+(I19+J19-5)*Ressources!$I$12+('Saisie immeuble'!I19-1)*Ressources!$I$13,IF((I19+J19)=5,Ressources!$H$12+('Saisie immeuble'!I19-1)*Ressources!$H$13,IF((I19+J19)=4,Ressources!$G$12+('Saisie immeuble'!I19-1)*Ressources!$G$13,IF((I19+J19)=3,Ressources!$F$12+('Saisie immeuble'!I19-1)*Ressources!$F$13,0))))))</f>
        <v>0</v>
      </c>
      <c r="U19" s="142">
        <f>IF(ISERROR('Cheque Energie'!G32),0,'Cheque Energie'!G32)</f>
        <v>0</v>
      </c>
      <c r="V19" s="56"/>
    </row>
    <row r="20" spans="1:22" ht="30" customHeight="1" x14ac:dyDescent="0.25">
      <c r="A20" s="37" t="s">
        <v>98</v>
      </c>
      <c r="B20" s="54"/>
      <c r="C20" s="54"/>
      <c r="D20" s="48"/>
      <c r="E20" s="48"/>
      <c r="F20" s="153"/>
      <c r="G20" s="48"/>
      <c r="H20" s="48"/>
      <c r="I20" s="54"/>
      <c r="J20" s="54"/>
      <c r="K20" s="56"/>
      <c r="L20" s="56"/>
      <c r="M20" s="56"/>
      <c r="N20" s="56"/>
      <c r="O20" s="56"/>
      <c r="P20" s="56"/>
      <c r="Q20" s="57"/>
      <c r="R20" s="57"/>
      <c r="S20" s="142">
        <f>IF(OR(Q20="RSA parent isolé",R20="RSA parent isolé"),IF(I20+J20=1,Ressources!$F$8,IF(I20+J20=2,Ressources!$G$8,IF(I20+J20=3,Ressources!$H$8,IF(I20+J20&gt;3,Ressources!$H$8+(I20+J20-3)*Ressources!$I$8,0)))),IF(AND(Q20="ASPA",R20="ASPA"),Ressources!$F$17,IF(AND('Saisie immeuble'!R20="RSA socle",'Saisie immeuble'!Q20="RSA socle"),IF(('Saisie immeuble'!I20+'Saisie immeuble'!J20)&gt;5,Ressources!$I$4+Ressources!$J$4*(('Saisie immeuble'!I20+'Saisie immeuble'!J20)-5),IF(('Saisie immeuble'!I20+'Saisie immeuble'!J20)=2,Ressources!$F$4,IF(('Saisie immeuble'!I20+'Saisie immeuble'!J20)=3,Ressources!$G$4,IF(('Saisie immeuble'!I20+'Saisie immeuble'!J20)=4,Ressources!$H$4,IF(('Saisie immeuble'!I20+'Saisie immeuble'!J20)=5,Ressources!$I$4,0))))), IF(OR(AND('Saisie immeuble'!R20="RSA socle",'Saisie immeuble'!Q20&lt;&gt;"RSA socle"),AND('Saisie immeuble'!Q20="RSA socle",'Saisie immeuble'!R20&lt;&gt;"RSA socle")),IF(('Saisie immeuble'!I20+'Saisie immeuble'!J20)&gt;4,Ressources!$I$3+Ressources!$J$3*(('Saisie immeuble'!I20+'Saisie immeuble'!J20)-4),IF(('Saisie immeuble'!I20+'Saisie immeuble'!J20)=1,Ressources!$F$3,IF(('Saisie immeuble'!I20+'Saisie immeuble'!J20)=2,Ressources!$G$3,IF(('Saisie immeuble'!I20+'Saisie immeuble'!J20)=3,Ressources!$H$3,IF(('Saisie immeuble'!I20+'Saisie immeuble'!J20)=4,Ressources!$I$3,0))))))+IF(Q20=Ressources!$A$3,Ressources!$B$3,IF(Q20=Ressources!$A$5,Ressources!$B$5,IF(Q20=Ressources!$A$6,Ressources!$B$6,IF(Q20=Ressources!$A$7,Ressources!$B$7,IF(Q20=Ressources!$A$8,Ressources!$B$8,IF(Q20=Ressources!$A$9,Ressources!$B$9,IF(Q20=Ressources!$A$10,Ressources!$B$10,IF(Q20=Ressources!$A$11,Ressources!$B$11,0))))))))+IF(R20=Ressources!$A$3,Ressources!$B$3,IF(R20=Ressources!$A$5,Ressources!$B$5,IF(R20=Ressources!$A$6,Ressources!$B$6,IF(R20=Ressources!$A$7,Ressources!$B$7,IF(R20=Ressources!$A$8,Ressources!$B$8,IF(R20=Ressources!$A$9,Ressources!$B$9,IF(R20=Ressources!$A$10,Ressources!$B$10,IF(R20=Ressources!$A$11,Ressources!$B$11,0)))))))))))</f>
        <v>0</v>
      </c>
      <c r="T20" s="142">
        <f>IF(AND(Q20&lt;&gt;0,R20&lt;&gt;0),IF((I20+J20)&gt;6,Ressources!$H$12+(I20+J20-6)*Ressources!$I$12+('Saisie immeuble'!I20-2)*Ressources!$I$13,IF((I20+J20)=6,Ressources!$H$12+('Saisie immeuble'!I20-2)*Ressources!$H$13,IF((I20+J20)=5,Ressources!$G$12+('Saisie immeuble'!I20-2)*Ressources!$G$13,IF((I20+J20)=4,Ressources!$F$12+('Saisie immeuble'!I20-2)*Ressources!$F$13,0)))),IF(OR(Q20=0,R20=0),IF((I20+J20)&gt;5,Ressources!$H$12+(I20+J20-5)*Ressources!$I$12+('Saisie immeuble'!I20-1)*Ressources!$I$13,IF((I20+J20)=5,Ressources!$H$12+('Saisie immeuble'!I20-1)*Ressources!$H$13,IF((I20+J20)=4,Ressources!$G$12+('Saisie immeuble'!I20-1)*Ressources!$G$13,IF((I20+J20)=3,Ressources!$F$12+('Saisie immeuble'!I20-1)*Ressources!$F$13,0))))))</f>
        <v>0</v>
      </c>
      <c r="U20" s="142">
        <f>IF(ISERROR('Cheque Energie'!G33),0,'Cheque Energie'!G33)</f>
        <v>0</v>
      </c>
      <c r="V20" s="56"/>
    </row>
    <row r="21" spans="1:22" ht="15" customHeight="1" x14ac:dyDescent="0.25">
      <c r="A21" s="154"/>
      <c r="B21" s="155" t="s">
        <v>364</v>
      </c>
      <c r="P21" s="156"/>
      <c r="Q21" s="156"/>
      <c r="R21" s="156"/>
      <c r="S21" s="156"/>
      <c r="T21" s="156"/>
      <c r="U21" s="156"/>
      <c r="V21" s="156"/>
    </row>
    <row r="29" spans="1:22" ht="30" customHeight="1" x14ac:dyDescent="0.25"/>
    <row r="30" spans="1:22" ht="30" customHeight="1" x14ac:dyDescent="0.25"/>
    <row r="31" spans="1:22" ht="30" customHeight="1" x14ac:dyDescent="0.25"/>
    <row r="32" spans="1:22" ht="30" customHeight="1" x14ac:dyDescent="0.25"/>
    <row r="33" ht="30" customHeight="1" x14ac:dyDescent="0.25"/>
  </sheetData>
  <mergeCells count="30">
    <mergeCell ref="L9:P9"/>
    <mergeCell ref="Q9:S9"/>
    <mergeCell ref="T9:T10"/>
    <mergeCell ref="U9:U10"/>
    <mergeCell ref="V9:V10"/>
    <mergeCell ref="F9:F10"/>
    <mergeCell ref="G9:G10"/>
    <mergeCell ref="H9:H10"/>
    <mergeCell ref="I9:J9"/>
    <mergeCell ref="K9:K10"/>
    <mergeCell ref="A8:B8"/>
    <mergeCell ref="A9:B10"/>
    <mergeCell ref="C9:C10"/>
    <mergeCell ref="D9:D10"/>
    <mergeCell ref="E9:E10"/>
    <mergeCell ref="A3:B3"/>
    <mergeCell ref="C3:D3"/>
    <mergeCell ref="A4:B4"/>
    <mergeCell ref="C4:D4"/>
    <mergeCell ref="Q4:U7"/>
    <mergeCell ref="A5:B5"/>
    <mergeCell ref="C5:D5"/>
    <mergeCell ref="A6:B6"/>
    <mergeCell ref="A7:B7"/>
    <mergeCell ref="A1:U1"/>
    <mergeCell ref="A2:B2"/>
    <mergeCell ref="C2:G2"/>
    <mergeCell ref="K2:L2"/>
    <mergeCell ref="N2:O2"/>
    <mergeCell ref="Q2:R2"/>
  </mergeCells>
  <dataValidations count="7">
    <dataValidation type="list" allowBlank="1" showInputMessage="1" showErrorMessage="1" sqref="C3:D3">
      <formula1>VILLE</formula1>
      <formula2>0</formula2>
    </dataValidation>
    <dataValidation type="list" allowBlank="1" showInputMessage="1" showErrorMessage="1" sqref="C4:D4">
      <formula1>annee</formula1>
      <formula2>0</formula2>
    </dataValidation>
    <dataValidation type="list" allowBlank="1" showInputMessage="1" showErrorMessage="1" sqref="C5:D5">
      <formula1>typedelogement</formula1>
      <formula2>0</formula2>
    </dataValidation>
    <dataValidation type="list" allowBlank="1" showInputMessage="1" showErrorMessage="1" sqref="C6:C8 F7">
      <formula1>oui</formula1>
      <formula2>0</formula2>
    </dataValidation>
    <dataValidation type="list" allowBlank="1" showInputMessage="1" showErrorMessage="1" sqref="D11:D20">
      <formula1>position</formula1>
      <formula2>0</formula2>
    </dataValidation>
    <dataValidation type="list" allowBlank="1" showInputMessage="1" showErrorMessage="1" sqref="F11:F17">
      <formula1>typeecs</formula1>
      <formula2>0</formula2>
    </dataValidation>
    <dataValidation type="list" allowBlank="1" showInputMessage="1" showErrorMessage="1" sqref="H11:H20">
      <formula1>cuisson2</formula1>
      <formula2>0</formula2>
    </dataValidation>
  </dataValidations>
  <pageMargins left="0.25" right="0.25" top="0.75" bottom="0.75" header="0.51180555555555496" footer="0.51180555555555496"/>
  <pageSetup paperSize="9" firstPageNumber="0" orientation="landscape" horizontalDpi="300" verticalDpi="300"/>
  <extLst>
    <ext xmlns:x14="http://schemas.microsoft.com/office/spreadsheetml/2009/9/main" uri="{CCE6A557-97BC-4b89-ADB6-D9C93CAAB3DF}">
      <x14:dataValidations xmlns:xm="http://schemas.microsoft.com/office/excel/2006/main" count="6">
        <x14:dataValidation type="list" allowBlank="1" showInputMessage="1" showErrorMessage="1">
          <x14:formula1>
            <xm:f>Feuil1!$B$78:$B$80</xm:f>
          </x14:formula1>
          <x14:formula2>
            <xm:f>0</xm:f>
          </x14:formula2>
          <xm:sqref>H7</xm:sqref>
        </x14:dataValidation>
        <x14:dataValidation type="list" allowBlank="1" showInputMessage="1" showErrorMessage="1">
          <x14:formula1>
            <xm:f>Ressources!$A$4:$A$11</xm:f>
          </x14:formula1>
          <x14:formula2>
            <xm:f>0</xm:f>
          </x14:formula2>
          <xm:sqref>Q11:Q20</xm:sqref>
        </x14:dataValidation>
        <x14:dataValidation type="list" allowBlank="1" showInputMessage="1" showErrorMessage="1">
          <x14:formula1>
            <xm:f>Ressources!$A$3:$A$11</xm:f>
          </x14:formula1>
          <x14:formula2>
            <xm:f>0</xm:f>
          </x14:formula2>
          <xm:sqref>R11:R20</xm:sqref>
        </x14:dataValidation>
        <x14:dataValidation type="list" allowBlank="1" showInputMessage="1" showErrorMessage="1">
          <x14:formula1>
            <xm:f>Feuil1!$Q$57:$Q$70</xm:f>
          </x14:formula1>
          <x14:formula2>
            <xm:f>0</xm:f>
          </x14:formula2>
          <xm:sqref>F18:F20</xm:sqref>
        </x14:dataValidation>
        <x14:dataValidation type="list" allowBlank="1" showInputMessage="1" showErrorMessage="1">
          <x14:formula1>
            <xm:f>Feuil1!$G$58:$G$75</xm:f>
          </x14:formula1>
          <x14:formula2>
            <xm:f>0</xm:f>
          </x14:formula2>
          <xm:sqref>E11:E20</xm:sqref>
        </x14:dataValidation>
        <x14:dataValidation type="list" allowBlank="1" showInputMessage="1" showErrorMessage="1">
          <x14:formula1>
            <xm:f>Feuil1!$B$67:$B$69</xm:f>
          </x14:formula1>
          <x14:formula2>
            <xm:f>0</xm:f>
          </x14:formula2>
          <xm:sqref>G11:G20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7D31"/>
    <pageSetUpPr fitToPage="1"/>
  </sheetPr>
  <dimension ref="A1:BD30"/>
  <sheetViews>
    <sheetView showGridLines="0" zoomScale="75" zoomScaleNormal="75" workbookViewId="0">
      <selection activeCell="T22" sqref="T22"/>
    </sheetView>
  </sheetViews>
  <sheetFormatPr baseColWidth="10" defaultColWidth="9.140625" defaultRowHeight="15" x14ac:dyDescent="0.25"/>
  <cols>
    <col min="1" max="1" width="13.42578125" customWidth="1"/>
    <col min="2" max="2" width="12.140625" customWidth="1"/>
    <col min="3" max="3" width="9.7109375" customWidth="1"/>
    <col min="4" max="16" width="10.85546875" customWidth="1"/>
    <col min="17" max="17" width="5.5703125" customWidth="1"/>
    <col min="18" max="19" width="11.140625" customWidth="1"/>
    <col min="20" max="21" width="15.5703125" customWidth="1"/>
    <col min="22" max="22" width="10.140625" customWidth="1"/>
    <col min="23" max="23" width="9.85546875" customWidth="1"/>
    <col min="24" max="1025" width="10.7109375" customWidth="1"/>
  </cols>
  <sheetData>
    <row r="1" spans="1:56" ht="31.5" customHeight="1" x14ac:dyDescent="0.5">
      <c r="A1" s="273" t="s">
        <v>365</v>
      </c>
      <c r="B1" s="273"/>
      <c r="C1" s="273"/>
      <c r="D1" s="273"/>
      <c r="E1" s="273"/>
      <c r="F1" s="273"/>
      <c r="G1" s="273"/>
      <c r="H1" s="273"/>
      <c r="I1" s="273"/>
      <c r="J1" s="273"/>
      <c r="K1" s="273"/>
      <c r="L1" s="273"/>
      <c r="M1" s="273"/>
      <c r="N1" s="273"/>
      <c r="O1" s="273"/>
      <c r="P1" s="273"/>
      <c r="Q1" s="273"/>
      <c r="R1" s="273"/>
      <c r="S1" s="273"/>
      <c r="T1" s="273"/>
      <c r="U1" s="273"/>
    </row>
    <row r="2" spans="1:56" ht="48" customHeight="1" x14ac:dyDescent="0.5">
      <c r="A2" s="303" t="s">
        <v>116</v>
      </c>
      <c r="B2" s="303"/>
      <c r="C2" s="303"/>
      <c r="D2" s="275" t="str">
        <f>'Saisie immeuble'!C2</f>
        <v>AIPI</v>
      </c>
      <c r="E2" s="275"/>
      <c r="F2" s="275"/>
      <c r="G2" s="275"/>
      <c r="H2" s="275"/>
      <c r="I2" s="275"/>
      <c r="Q2" s="65"/>
      <c r="R2" s="66"/>
      <c r="S2" s="66"/>
      <c r="T2" s="66"/>
      <c r="V2" s="15"/>
      <c r="W2" s="15"/>
      <c r="X2" s="15"/>
    </row>
    <row r="3" spans="1:56" s="159" customFormat="1" ht="45.75" customHeight="1" x14ac:dyDescent="0.25">
      <c r="A3" s="304" t="s">
        <v>117</v>
      </c>
      <c r="B3" s="276" t="s">
        <v>118</v>
      </c>
      <c r="C3" s="276" t="s">
        <v>119</v>
      </c>
      <c r="D3" s="305" t="s">
        <v>120</v>
      </c>
      <c r="E3" s="305"/>
      <c r="F3" s="305"/>
      <c r="G3" s="305"/>
      <c r="H3" s="305"/>
      <c r="I3" s="305"/>
      <c r="J3" s="305" t="s">
        <v>121</v>
      </c>
      <c r="K3" s="305"/>
      <c r="L3" s="157" t="s">
        <v>122</v>
      </c>
      <c r="M3" s="305" t="s">
        <v>366</v>
      </c>
      <c r="N3" s="305"/>
      <c r="O3" s="305"/>
      <c r="P3" s="305"/>
      <c r="Q3" s="158"/>
      <c r="R3" s="280" t="s">
        <v>124</v>
      </c>
      <c r="S3" s="280"/>
      <c r="T3" s="280"/>
      <c r="U3" s="280"/>
      <c r="V3" s="15"/>
      <c r="W3" s="15"/>
      <c r="X3" s="15"/>
    </row>
    <row r="4" spans="1:56" s="15" customFormat="1" ht="76.5" x14ac:dyDescent="0.25">
      <c r="A4" s="304"/>
      <c r="B4" s="276"/>
      <c r="C4" s="276"/>
      <c r="D4" s="67" t="s">
        <v>125</v>
      </c>
      <c r="E4" s="67" t="s">
        <v>126</v>
      </c>
      <c r="F4" s="67" t="s">
        <v>127</v>
      </c>
      <c r="G4" s="67" t="s">
        <v>128</v>
      </c>
      <c r="H4" s="67" t="s">
        <v>129</v>
      </c>
      <c r="I4" s="70" t="s">
        <v>130</v>
      </c>
      <c r="J4" s="67" t="s">
        <v>367</v>
      </c>
      <c r="K4" s="67" t="s">
        <v>132</v>
      </c>
      <c r="L4" s="67" t="s">
        <v>133</v>
      </c>
      <c r="M4" s="70" t="s">
        <v>134</v>
      </c>
      <c r="N4" s="67" t="s">
        <v>135</v>
      </c>
      <c r="O4" s="70" t="s">
        <v>136</v>
      </c>
      <c r="P4" s="70" t="s">
        <v>137</v>
      </c>
      <c r="Q4" s="160"/>
      <c r="R4" s="71" t="s">
        <v>138</v>
      </c>
      <c r="S4" s="71" t="s">
        <v>139</v>
      </c>
      <c r="T4" s="71" t="s">
        <v>140</v>
      </c>
      <c r="U4" s="71" t="s">
        <v>368</v>
      </c>
    </row>
    <row r="5" spans="1:56" s="15" customFormat="1" ht="15.75" x14ac:dyDescent="0.25">
      <c r="A5" s="161" t="s">
        <v>84</v>
      </c>
      <c r="B5" s="161" t="str">
        <f>'Saisie immeuble'!B11</f>
        <v>N°4</v>
      </c>
      <c r="C5" s="162">
        <f>'Saisie immeuble'!C11</f>
        <v>40.26</v>
      </c>
      <c r="D5" s="163">
        <f>IF(ISERROR(Feuil1!Q14/12),0,Feuil1!Q14/12)</f>
        <v>26.850523387500008</v>
      </c>
      <c r="E5" s="163">
        <f>IF(ISNA(Feuil1!AX14/12),"-",Feuil1!AX14/12)</f>
        <v>19.822916666666668</v>
      </c>
      <c r="F5" s="164">
        <f>IF(ISNA(Feuil1!AS14/12),"-",Feuil1!AS14/12)</f>
        <v>8.7100000000000009</v>
      </c>
      <c r="G5" s="163">
        <f>IF(ISNA(Feuil1!AG14/12),"-",Feuil1!AG14/12)</f>
        <v>21.242723000000002</v>
      </c>
      <c r="H5" s="163">
        <f>IF(ISNA(Feuil1!AI14/12),"-",Feuil1!AI14/12)</f>
        <v>4.5412500000000007</v>
      </c>
      <c r="I5" s="165">
        <f t="shared" ref="I5:I14" si="0">SUM(D5:G5,H5)</f>
        <v>81.167413054166687</v>
      </c>
      <c r="J5" s="164">
        <f>(('Saisie immeuble'!L11*'Saisie immeuble'!C11)+SUM('Saisie immeuble'!M11:P11))/12</f>
        <v>23.441666666666663</v>
      </c>
      <c r="K5" s="164">
        <f>'Saisie immeuble'!K11+'Résultat immeuble'!I5+J5</f>
        <v>391.43907972083332</v>
      </c>
      <c r="L5" s="164">
        <f>$K5-'Saisie immeuble'!$V11</f>
        <v>225.43907972083332</v>
      </c>
      <c r="M5" s="165">
        <f>'Saisie immeuble'!$S11-'Résultat immeuble'!L5</f>
        <v>271.56092027916668</v>
      </c>
      <c r="N5" s="166">
        <f>IF('Saisie immeuble'!I11&gt;0,1+0.5*('Saisie immeuble'!I11-1)+0.3*'Saisie immeuble'!J11,0)</f>
        <v>1</v>
      </c>
      <c r="O5" s="167">
        <f t="shared" ref="O5:O14" si="1">IF(ISERROR(M5/($N5*30)),0,M5/($N5*30))</f>
        <v>9.0520306759722224</v>
      </c>
      <c r="P5" s="168">
        <f>IF(ISERROR(L5/'Saisie immeuble'!$S11),0,L5/'Saisie immeuble'!$S11)</f>
        <v>0.45359975798960428</v>
      </c>
      <c r="Q5" s="169"/>
      <c r="R5" s="74">
        <f>IF(ISERROR('Cheque Energie'!G24),0,'Cheque Energie'!G24)</f>
        <v>194</v>
      </c>
      <c r="S5" s="74">
        <f t="shared" ref="S5:S14" si="2">R5/12</f>
        <v>16.166666666666668</v>
      </c>
      <c r="T5" s="74">
        <f t="shared" ref="T5:T14" si="3">M5+S5</f>
        <v>287.72758694583337</v>
      </c>
      <c r="U5" s="79">
        <f>IF(ISERROR((L5-S5)/('Saisie immeuble'!S11+'Saisie immeuble'!T11)),0,(L5-S5)/('Saisie immeuble'!S11+'Saisie immeuble'!T11))</f>
        <v>0.421071253630114</v>
      </c>
    </row>
    <row r="6" spans="1:56" ht="15.75" x14ac:dyDescent="0.25">
      <c r="A6" s="161" t="s">
        <v>90</v>
      </c>
      <c r="B6" s="161" t="str">
        <f>'Saisie immeuble'!B12</f>
        <v>N5</v>
      </c>
      <c r="C6" s="162">
        <f>'Saisie immeuble'!C12</f>
        <v>64.400000000000006</v>
      </c>
      <c r="D6" s="163">
        <f>IF(ISERROR(Feuil1!Q15/12),0,Feuil1!Q15/12)</f>
        <v>41.164831720833348</v>
      </c>
      <c r="E6" s="163">
        <f>IF(ISNA(Feuil1!AX15/12),"-",Feuil1!AX15/12)</f>
        <v>32.4375</v>
      </c>
      <c r="F6" s="164">
        <f>IF(ISNA(Feuil1!AS15/12),"-",Feuil1!AS15/12)</f>
        <v>12.953333333333333</v>
      </c>
      <c r="G6" s="163">
        <f>IF(ISNA(Feuil1!AG15/12),"-",Feuil1!AG15/12)</f>
        <v>29.805185000000005</v>
      </c>
      <c r="H6" s="163">
        <f>IF(ISNA(Feuil1!AI15/12),"-",Feuil1!AI15/12)</f>
        <v>5.5792500000000009</v>
      </c>
      <c r="I6" s="165">
        <f t="shared" si="0"/>
        <v>121.94010005416669</v>
      </c>
      <c r="J6" s="164">
        <f>(('Saisie immeuble'!L12*'Saisie immeuble'!C12)+SUM('Saisie immeuble'!M12:P12))/12</f>
        <v>33.5</v>
      </c>
      <c r="K6" s="164">
        <f>'Saisie immeuble'!K12+'Résultat immeuble'!I6+J6</f>
        <v>602.44010005416669</v>
      </c>
      <c r="L6" s="164">
        <f>$K6-'Saisie immeuble'!$V12</f>
        <v>400.44010005416669</v>
      </c>
      <c r="M6" s="165">
        <f>'Saisie immeuble'!$S12-'Résultat immeuble'!L6</f>
        <v>430.55989994583331</v>
      </c>
      <c r="N6" s="166">
        <f>IF('Saisie immeuble'!I12&gt;0,1+0.5*('Saisie immeuble'!I12-1)+0.3*'Saisie immeuble'!J12,0)</f>
        <v>1.3</v>
      </c>
      <c r="O6" s="167">
        <f t="shared" si="1"/>
        <v>11.039997434508546</v>
      </c>
      <c r="P6" s="168">
        <f>IF(ISERROR(L6/'Saisie immeuble'!$S12),0,L6/'Saisie immeuble'!$S12)</f>
        <v>0.48187737671981551</v>
      </c>
      <c r="Q6" s="169"/>
      <c r="R6" s="74">
        <f>IF(ISERROR('Cheque Energie'!G25),0,'Cheque Energie'!G25)</f>
        <v>113</v>
      </c>
      <c r="S6" s="74">
        <f t="shared" si="2"/>
        <v>9.4166666666666661</v>
      </c>
      <c r="T6" s="74">
        <f t="shared" si="3"/>
        <v>439.97656661249999</v>
      </c>
      <c r="U6" s="79">
        <f>IF(ISERROR((L6-S6)/('Saisie immeuble'!S12+'Saisie immeuble'!T12)),0,(L6-S6)/('Saisie immeuble'!S12+'Saisie immeuble'!T12))</f>
        <v>0.47054564787906139</v>
      </c>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row>
    <row r="7" spans="1:56" ht="15.75" x14ac:dyDescent="0.25">
      <c r="A7" s="161" t="s">
        <v>91</v>
      </c>
      <c r="B7" s="161" t="str">
        <f>'Saisie immeuble'!B13</f>
        <v>N7</v>
      </c>
      <c r="C7" s="162">
        <f>'Saisie immeuble'!C13</f>
        <v>32.35</v>
      </c>
      <c r="D7" s="163">
        <f>IF(ISERROR(Feuil1!Q16/12),0,Feuil1!Q16/12)</f>
        <v>22.494872833333332</v>
      </c>
      <c r="E7" s="163">
        <f>IF(ISNA(Feuil1!AX16/12),"-",Feuil1!AX16/12)</f>
        <v>19.822916666666668</v>
      </c>
      <c r="F7" s="164">
        <f>IF(ISNA(Feuil1!AS16/12),"-",Feuil1!AS16/12)</f>
        <v>8.7100000000000009</v>
      </c>
      <c r="G7" s="163">
        <f>IF(ISNA(Feuil1!AG16/12),"-",Feuil1!AG16/12)</f>
        <v>19.395342500000002</v>
      </c>
      <c r="H7" s="163">
        <f>IF(ISNA(Feuil1!AI16/12),"-",Feuil1!AI16/12)</f>
        <v>4.5412500000000007</v>
      </c>
      <c r="I7" s="165">
        <f t="shared" si="0"/>
        <v>74.964382000000015</v>
      </c>
      <c r="J7" s="164">
        <f>(('Saisie immeuble'!L13*'Saisie immeuble'!C13)+SUM('Saisie immeuble'!M13:P13))/12</f>
        <v>37.8125</v>
      </c>
      <c r="K7" s="164">
        <f>'Saisie immeuble'!K13+'Résultat immeuble'!I7+J7</f>
        <v>343.75588200000004</v>
      </c>
      <c r="L7" s="164">
        <f>$K7-'Saisie immeuble'!$V13</f>
        <v>183.75588200000004</v>
      </c>
      <c r="M7" s="165">
        <f>'Saisie immeuble'!$S13-'Résultat immeuble'!L7</f>
        <v>313.24411799999996</v>
      </c>
      <c r="N7" s="166">
        <f>IF('Saisie immeuble'!I13&gt;0,1+0.5*('Saisie immeuble'!I13-1)+0.3*'Saisie immeuble'!J13,0)</f>
        <v>1</v>
      </c>
      <c r="O7" s="167">
        <f t="shared" si="1"/>
        <v>10.441470599999999</v>
      </c>
      <c r="P7" s="168">
        <f>IF(ISERROR(L7/'Saisie immeuble'!$S13),0,L7/'Saisie immeuble'!$S13)</f>
        <v>0.3697301448692154</v>
      </c>
      <c r="Q7" s="170"/>
      <c r="R7" s="74">
        <f>IF(ISERROR('Cheque Energie'!G26),0,'Cheque Energie'!G26)</f>
        <v>194</v>
      </c>
      <c r="S7" s="74">
        <f t="shared" si="2"/>
        <v>16.166666666666668</v>
      </c>
      <c r="T7" s="74">
        <f t="shared" si="3"/>
        <v>329.41078466666664</v>
      </c>
      <c r="U7" s="79">
        <f>IF(ISERROR((L7-S7)/('Saisie immeuble'!S13+'Saisie immeuble'!T13)),0,(L7-S7)/('Saisie immeuble'!S13+'Saisie immeuble'!T13))</f>
        <v>0.33720164050972512</v>
      </c>
    </row>
    <row r="8" spans="1:56" ht="15.75" x14ac:dyDescent="0.25">
      <c r="A8" s="161" t="s">
        <v>92</v>
      </c>
      <c r="B8" s="161" t="str">
        <f>'Saisie immeuble'!B14</f>
        <v>N8</v>
      </c>
      <c r="C8" s="162">
        <f>'Saisie immeuble'!C14</f>
        <v>31.7</v>
      </c>
      <c r="D8" s="163">
        <f>IF(ISERROR(Feuil1!Q17/12),0,Feuil1!Q17/12)</f>
        <v>22.166893666666663</v>
      </c>
      <c r="E8" s="163">
        <f>IF(ISNA(Feuil1!AX17/12),"-",Feuil1!AX17/12)</f>
        <v>19.822916666666668</v>
      </c>
      <c r="F8" s="164">
        <f>IF(ISNA(Feuil1!AS17/12),"-",Feuil1!AS17/12)</f>
        <v>8.7100000000000009</v>
      </c>
      <c r="G8" s="163">
        <f>IF(ISNA(Feuil1!AG17/12),"-",Feuil1!AG17/12)</f>
        <v>19.243535000000001</v>
      </c>
      <c r="H8" s="163">
        <f>IF(ISNA(Feuil1!AI17/12),"-",Feuil1!AI17/12)</f>
        <v>4.5412500000000007</v>
      </c>
      <c r="I8" s="165">
        <f t="shared" si="0"/>
        <v>74.484595333333331</v>
      </c>
      <c r="J8" s="164">
        <f>(('Saisie immeuble'!L14*'Saisie immeuble'!C14)+SUM('Saisie immeuble'!M14:P14))/12</f>
        <v>37.291666666666664</v>
      </c>
      <c r="K8" s="164">
        <f>'Saisie immeuble'!K14+'Résultat immeuble'!I8+J8</f>
        <v>338.114262</v>
      </c>
      <c r="L8" s="164">
        <f>$K8-'Saisie immeuble'!$V14</f>
        <v>181.114262</v>
      </c>
      <c r="M8" s="165">
        <f>'Saisie immeuble'!$S14-'Résultat immeuble'!L8</f>
        <v>468.885738</v>
      </c>
      <c r="N8" s="166">
        <f>IF('Saisie immeuble'!I14&gt;0,1+0.5*('Saisie immeuble'!I14-1)+0.3*'Saisie immeuble'!J14,0)</f>
        <v>1</v>
      </c>
      <c r="O8" s="167">
        <f t="shared" si="1"/>
        <v>15.6295246</v>
      </c>
      <c r="P8" s="168">
        <f>IF(ISERROR(L8/'Saisie immeuble'!$S14),0,L8/'Saisie immeuble'!$S14)</f>
        <v>0.27863732615384612</v>
      </c>
      <c r="Q8" s="170"/>
      <c r="R8" s="74">
        <f>IF(ISERROR('Cheque Energie'!G27),0,'Cheque Energie'!G27)</f>
        <v>98</v>
      </c>
      <c r="S8" s="74">
        <f t="shared" si="2"/>
        <v>8.1666666666666661</v>
      </c>
      <c r="T8" s="74">
        <f t="shared" si="3"/>
        <v>477.05240466666669</v>
      </c>
      <c r="U8" s="79">
        <f>IF(ISERROR((L8-S8)/('Saisie immeuble'!S14+'Saisie immeuble'!T14)),0,(L8-S8)/('Saisie immeuble'!S14+'Saisie immeuble'!T14))</f>
        <v>0.26607322358974361</v>
      </c>
    </row>
    <row r="9" spans="1:56" ht="15.75" x14ac:dyDescent="0.25">
      <c r="A9" s="161" t="s">
        <v>93</v>
      </c>
      <c r="B9" s="161" t="str">
        <f>'Saisie immeuble'!B15</f>
        <v>N9</v>
      </c>
      <c r="C9" s="162">
        <f>'Saisie immeuble'!C15</f>
        <v>59.49</v>
      </c>
      <c r="D9" s="163">
        <f>IF(ISERROR(Feuil1!Q18/12),0,Feuil1!Q18/12)</f>
        <v>36.907214500000002</v>
      </c>
      <c r="E9" s="163">
        <f>IF(ISNA(Feuil1!AX18/12),"-",Feuil1!AX18/12)</f>
        <v>19.822916666666668</v>
      </c>
      <c r="F9" s="164">
        <f>IF(ISNA(Feuil1!AS18/12),"-",Feuil1!AS18/12)</f>
        <v>8.7100000000000009</v>
      </c>
      <c r="G9" s="163">
        <f>IF(ISNA(Feuil1!AG18/12),"-",Feuil1!AG18/12)</f>
        <v>25.733889500000004</v>
      </c>
      <c r="H9" s="163">
        <f>IF(ISNA(Feuil1!AI18/12),"-",Feuil1!AI18/12)</f>
        <v>4.5412500000000007</v>
      </c>
      <c r="I9" s="165">
        <f t="shared" si="0"/>
        <v>95.715270666666683</v>
      </c>
      <c r="J9" s="164">
        <f>(('Saisie immeuble'!L15*'Saisie immeuble'!C15)+SUM('Saisie immeuble'!M15:P15))/12</f>
        <v>31.454166666666666</v>
      </c>
      <c r="K9" s="164">
        <f>'Saisie immeuble'!K15+'Résultat immeuble'!I9++J9</f>
        <v>534.28943733333335</v>
      </c>
      <c r="L9" s="164">
        <f>$K9-'Saisie immeuble'!$V15</f>
        <v>328.28943733333335</v>
      </c>
      <c r="M9" s="165">
        <f>'Saisie immeuble'!$S15-'Résultat immeuble'!L9</f>
        <v>168.71056266666665</v>
      </c>
      <c r="N9" s="166">
        <f>IF('Saisie immeuble'!I15&gt;0,1+0.5*('Saisie immeuble'!I15-1)+0.3*'Saisie immeuble'!J15,0)</f>
        <v>1</v>
      </c>
      <c r="O9" s="167">
        <f t="shared" si="1"/>
        <v>5.6236854222222217</v>
      </c>
      <c r="P9" s="168">
        <f>IF(ISERROR(L9/'Saisie immeuble'!$S15),0,L9/'Saisie immeuble'!$S15)</f>
        <v>0.66054212743125418</v>
      </c>
      <c r="Q9" s="170"/>
      <c r="R9" s="74">
        <f>IF(ISERROR('Cheque Energie'!G28),0,'Cheque Energie'!G28)</f>
        <v>194</v>
      </c>
      <c r="S9" s="74">
        <f t="shared" si="2"/>
        <v>16.166666666666668</v>
      </c>
      <c r="T9" s="74">
        <f t="shared" si="3"/>
        <v>184.8772293333333</v>
      </c>
      <c r="U9" s="79">
        <f>IF(ISERROR((L9-S9)/('Saisie immeuble'!S15+'Saisie immeuble'!T15)),0,(L9-S9)/('Saisie immeuble'!S15+'Saisie immeuble'!T15))</f>
        <v>0.62801362307176389</v>
      </c>
    </row>
    <row r="10" spans="1:56" ht="15.75" x14ac:dyDescent="0.25">
      <c r="A10" s="161" t="s">
        <v>94</v>
      </c>
      <c r="B10" s="161" t="str">
        <f>'Saisie immeuble'!B16</f>
        <v>N10</v>
      </c>
      <c r="C10" s="162">
        <f>'Saisie immeuble'!C16</f>
        <v>71</v>
      </c>
      <c r="D10" s="163">
        <f>IF(ISERROR(Feuil1!Q19/12),0,Feuil1!Q19/12)</f>
        <v>46.033685333333331</v>
      </c>
      <c r="E10" s="163">
        <f>IF(ISNA(Feuil1!AX19/12),"-",Feuil1!AX19/12)</f>
        <v>32.4375</v>
      </c>
      <c r="F10" s="164">
        <f>IF(ISNA(Feuil1!AS19/12),"-",Feuil1!AS19/12)</f>
        <v>12.953333333333333</v>
      </c>
      <c r="G10" s="163">
        <f>IF(ISNA(Feuil1!AG19/12),"-",Feuil1!AG19/12)</f>
        <v>31.646337500000001</v>
      </c>
      <c r="H10" s="163">
        <f>IF(ISNA(Feuil1!AI19/12),"-",Feuil1!AI19/12)</f>
        <v>5.5792500000000009</v>
      </c>
      <c r="I10" s="165">
        <f t="shared" si="0"/>
        <v>128.65010616666666</v>
      </c>
      <c r="J10" s="164">
        <f>(('Saisie immeuble'!L16*'Saisie immeuble'!C16)+SUM('Saisie immeuble'!M16:P16))/12</f>
        <v>36.25</v>
      </c>
      <c r="K10" s="164">
        <f>'Saisie immeuble'!K16+'Résultat immeuble'!I10++J10</f>
        <v>653.19010616666674</v>
      </c>
      <c r="L10" s="164">
        <f>$K10-'Saisie immeuble'!$V16</f>
        <v>451.19010616666674</v>
      </c>
      <c r="M10" s="165">
        <f>'Saisie immeuble'!$S16-'Résultat immeuble'!L10</f>
        <v>379.80989383333326</v>
      </c>
      <c r="N10" s="166">
        <f>IF('Saisie immeuble'!I16&gt;0,1+0.5*('Saisie immeuble'!I16-1)+0.3*'Saisie immeuble'!J16,0)</f>
        <v>1.3</v>
      </c>
      <c r="O10" s="167">
        <f t="shared" si="1"/>
        <v>9.7387152264957244</v>
      </c>
      <c r="P10" s="168">
        <f>IF(ISERROR(L10/'Saisie immeuble'!$S16),0,L10/'Saisie immeuble'!$S16)</f>
        <v>0.54294838287204183</v>
      </c>
      <c r="Q10" s="170"/>
      <c r="R10" s="74">
        <f>IF(ISERROR('Cheque Energie'!G29),0,'Cheque Energie'!G29)</f>
        <v>113</v>
      </c>
      <c r="S10" s="74">
        <f t="shared" si="2"/>
        <v>9.4166666666666661</v>
      </c>
      <c r="T10" s="74">
        <f t="shared" si="3"/>
        <v>389.22656049999995</v>
      </c>
      <c r="U10" s="79">
        <f>IF(ISERROR((L10-S10)/('Saisie immeuble'!S16+'Saisie immeuble'!T16)),0,(L10-S10)/('Saisie immeuble'!S16+'Saisie immeuble'!T16))</f>
        <v>0.53161665403128766</v>
      </c>
    </row>
    <row r="11" spans="1:56" ht="15.75" x14ac:dyDescent="0.25">
      <c r="A11" s="161" t="s">
        <v>95</v>
      </c>
      <c r="B11" s="161" t="str">
        <f>'Saisie immeuble'!B17</f>
        <v>N11</v>
      </c>
      <c r="C11" s="162">
        <f>'Saisie immeuble'!C17</f>
        <v>59.63</v>
      </c>
      <c r="D11" s="163">
        <f>IF(ISERROR(Feuil1!Q20/12),0,Feuil1!Q20/12)</f>
        <v>37.018222833333333</v>
      </c>
      <c r="E11" s="163">
        <f>IF(ISNA(Feuil1!AX20/12),"-",Feuil1!AX20/12)</f>
        <v>32.4375</v>
      </c>
      <c r="F11" s="164">
        <f>IF(ISNA(Feuil1!AS20/12),"-",Feuil1!AS20/12)</f>
        <v>12.953333333333333</v>
      </c>
      <c r="G11" s="163">
        <f>IF(ISNA(Feuil1!AG20/12),"-",Feuil1!AG20/12)</f>
        <v>28.474533875000002</v>
      </c>
      <c r="H11" s="163">
        <f>IF(ISNA(Feuil1!AI20/12),"-",Feuil1!AI20/12)</f>
        <v>5.5792500000000009</v>
      </c>
      <c r="I11" s="165">
        <f t="shared" si="0"/>
        <v>116.46284004166668</v>
      </c>
      <c r="J11" s="164">
        <f>(('Saisie immeuble'!L17*'Saisie immeuble'!C17)+SUM('Saisie immeuble'!M17:P17))/12</f>
        <v>31.512500000000003</v>
      </c>
      <c r="K11" s="164">
        <f>'Saisie immeuble'!K17+'Résultat immeuble'!I11+J11</f>
        <v>564.97534004166675</v>
      </c>
      <c r="L11" s="164">
        <f>$K11-'Saisie immeuble'!$V17</f>
        <v>362.97534004166675</v>
      </c>
      <c r="M11" s="165">
        <f>'Saisie immeuble'!$S17-'Résultat immeuble'!L11</f>
        <v>349.02465995833325</v>
      </c>
      <c r="N11" s="166">
        <f>IF('Saisie immeuble'!I17&gt;0,1+0.5*('Saisie immeuble'!I17-1)+0.3*'Saisie immeuble'!J17,0)</f>
        <v>1.5</v>
      </c>
      <c r="O11" s="167">
        <f t="shared" si="1"/>
        <v>7.756103554629628</v>
      </c>
      <c r="P11" s="168">
        <f>IF(ISERROR(L11/'Saisie immeuble'!$S17),0,L11/'Saisie immeuble'!$S17)</f>
        <v>0.50979682590121733</v>
      </c>
      <c r="Q11" s="170"/>
      <c r="R11" s="74">
        <f>IF(ISERROR('Cheque Energie'!G30),0,'Cheque Energie'!G30)</f>
        <v>240</v>
      </c>
      <c r="S11" s="74">
        <f t="shared" si="2"/>
        <v>20</v>
      </c>
      <c r="T11" s="74">
        <f t="shared" si="3"/>
        <v>369.02465995833325</v>
      </c>
      <c r="U11" s="79">
        <f>IF(ISERROR((L11-S11)/('Saisie immeuble'!S17+'Saisie immeuble'!T17)),0,(L11-S11)/('Saisie immeuble'!S17+'Saisie immeuble'!T17))</f>
        <v>0.48170693826076794</v>
      </c>
    </row>
    <row r="12" spans="1:56" ht="15.75" x14ac:dyDescent="0.25">
      <c r="A12" s="161" t="s">
        <v>96</v>
      </c>
      <c r="B12" s="161">
        <f>'Saisie immeuble'!B18</f>
        <v>0</v>
      </c>
      <c r="C12" s="162">
        <f>'Saisie immeuble'!C18</f>
        <v>0</v>
      </c>
      <c r="D12" s="163">
        <f>IF(ISERROR(Feuil1!Q21/12),0,Feuil1!Q21/12)</f>
        <v>0</v>
      </c>
      <c r="E12" s="163" t="str">
        <f>IF(ISNA(Feuil1!AX21/12),"-",Feuil1!AX21/12)</f>
        <v>-</v>
      </c>
      <c r="F12" s="164" t="str">
        <f>IF(ISNA(Feuil1!AS21/12),"-",Feuil1!AS21/12)</f>
        <v>-</v>
      </c>
      <c r="G12" s="163" t="str">
        <f>IF(ISNA(Feuil1!AG21/12),"-",Feuil1!AG21/12)</f>
        <v>-</v>
      </c>
      <c r="H12" s="163" t="str">
        <f>IF(ISNA(Feuil1!AI21/12),"-",Feuil1!AI21/12)</f>
        <v>-</v>
      </c>
      <c r="I12" s="165">
        <f t="shared" si="0"/>
        <v>0</v>
      </c>
      <c r="J12" s="164">
        <f>(('Saisie immeuble'!L18*'Saisie immeuble'!C18)+SUM('Saisie immeuble'!M18:P18))/12</f>
        <v>0</v>
      </c>
      <c r="K12" s="164">
        <f>'Saisie immeuble'!K18+'Résultat immeuble'!I12++J12</f>
        <v>0</v>
      </c>
      <c r="L12" s="164">
        <f>$K12-'Saisie immeuble'!$V18</f>
        <v>0</v>
      </c>
      <c r="M12" s="165">
        <f>'Saisie immeuble'!$S18-'Résultat immeuble'!L12</f>
        <v>0</v>
      </c>
      <c r="N12" s="166">
        <f>IF('Saisie immeuble'!I18&gt;0,1+0.5*('Saisie immeuble'!I18-1)+0.3*'Saisie immeuble'!J18,0)</f>
        <v>0</v>
      </c>
      <c r="O12" s="167">
        <f t="shared" si="1"/>
        <v>0</v>
      </c>
      <c r="P12" s="168">
        <f>IF(ISERROR(L12/'Saisie immeuble'!$S18),0,L12/'Saisie immeuble'!$S18)</f>
        <v>0</v>
      </c>
      <c r="Q12" s="170"/>
      <c r="R12" s="74">
        <f>IF(ISERROR('Cheque Energie'!G31),0,'Cheque Energie'!G31)</f>
        <v>0</v>
      </c>
      <c r="S12" s="74">
        <f t="shared" si="2"/>
        <v>0</v>
      </c>
      <c r="T12" s="74">
        <f t="shared" si="3"/>
        <v>0</v>
      </c>
      <c r="U12" s="79">
        <f>IF(ISERROR((L12-S12)/('Saisie immeuble'!S18+'Saisie immeuble'!T18)),0,(L12-S12)/('Saisie immeuble'!S18+'Saisie immeuble'!T18))</f>
        <v>0</v>
      </c>
    </row>
    <row r="13" spans="1:56" ht="15.75" x14ac:dyDescent="0.25">
      <c r="A13" s="161" t="s">
        <v>97</v>
      </c>
      <c r="B13" s="161">
        <f>'Saisie immeuble'!B19</f>
        <v>0</v>
      </c>
      <c r="C13" s="162">
        <f>'Saisie immeuble'!C19</f>
        <v>0</v>
      </c>
      <c r="D13" s="163">
        <f>IF(ISERROR(Feuil1!Q22/12),0,Feuil1!Q22/12)</f>
        <v>0</v>
      </c>
      <c r="E13" s="163" t="str">
        <f>IF(ISNA(Feuil1!AX22/12),"-",Feuil1!AX22/12)</f>
        <v>-</v>
      </c>
      <c r="F13" s="164" t="str">
        <f>IF(ISNA(Feuil1!AS22/12),"-",Feuil1!AS22/12)</f>
        <v>-</v>
      </c>
      <c r="G13" s="163" t="str">
        <f>IF(ISNA(Feuil1!AG22/12),"-",Feuil1!AG22/12)</f>
        <v>-</v>
      </c>
      <c r="H13" s="163" t="str">
        <f>IF(ISNA(Feuil1!AI22/12),"-",Feuil1!AI22/12)</f>
        <v>-</v>
      </c>
      <c r="I13" s="165">
        <f t="shared" si="0"/>
        <v>0</v>
      </c>
      <c r="J13" s="164">
        <f>(('Saisie immeuble'!L19*'Saisie immeuble'!C19)+SUM('Saisie immeuble'!M19:P19))/12</f>
        <v>0</v>
      </c>
      <c r="K13" s="164">
        <f>'Saisie immeuble'!K19+'Résultat immeuble'!I13+J13</f>
        <v>0</v>
      </c>
      <c r="L13" s="164">
        <f>$K13-'Saisie immeuble'!$V19</f>
        <v>0</v>
      </c>
      <c r="M13" s="165">
        <f>'Saisie immeuble'!$S19-'Résultat immeuble'!L13</f>
        <v>0</v>
      </c>
      <c r="N13" s="166">
        <f>IF('Saisie immeuble'!I19&gt;0,1+0.5*('Saisie immeuble'!I19-1)+0.3*'Saisie immeuble'!J19,0)</f>
        <v>0</v>
      </c>
      <c r="O13" s="167">
        <f t="shared" si="1"/>
        <v>0</v>
      </c>
      <c r="P13" s="168">
        <f>IF(ISERROR(L13/'Saisie immeuble'!$S19),0,L13/'Saisie immeuble'!$S19)</f>
        <v>0</v>
      </c>
      <c r="Q13" s="170"/>
      <c r="R13" s="74">
        <f>IF(ISERROR('Cheque Energie'!G32),0,'Cheque Energie'!G32)</f>
        <v>0</v>
      </c>
      <c r="S13" s="74">
        <f t="shared" si="2"/>
        <v>0</v>
      </c>
      <c r="T13" s="74">
        <f t="shared" si="3"/>
        <v>0</v>
      </c>
      <c r="U13" s="79">
        <f>IF(ISERROR((L13-S13)/('Saisie immeuble'!S19+'Saisie immeuble'!T19)),0,(L13-S13)/('Saisie immeuble'!S19+'Saisie immeuble'!T19))</f>
        <v>0</v>
      </c>
    </row>
    <row r="14" spans="1:56" ht="15.75" x14ac:dyDescent="0.25">
      <c r="A14" s="161" t="s">
        <v>98</v>
      </c>
      <c r="B14" s="161">
        <f>'Saisie immeuble'!B20</f>
        <v>0</v>
      </c>
      <c r="C14" s="162">
        <f>'Saisie immeuble'!C20</f>
        <v>0</v>
      </c>
      <c r="D14" s="163">
        <f>IF(ISERROR(Feuil1!Q23/12),0,Feuil1!Q23/12)</f>
        <v>0</v>
      </c>
      <c r="E14" s="163" t="str">
        <f>IF(ISNA(Feuil1!AX23/12),"-",Feuil1!AX23/12)</f>
        <v>-</v>
      </c>
      <c r="F14" s="164" t="str">
        <f>IF(ISNA(Feuil1!AS23/12),"-",Feuil1!AS23/12)</f>
        <v>-</v>
      </c>
      <c r="G14" s="163" t="str">
        <f>IF(ISNA(Feuil1!AG23/12),"-",Feuil1!AG23/12)</f>
        <v>-</v>
      </c>
      <c r="H14" s="163" t="str">
        <f>IF(ISNA(Feuil1!AI23/12),"-",Feuil1!AI23/12)</f>
        <v>-</v>
      </c>
      <c r="I14" s="165">
        <f t="shared" si="0"/>
        <v>0</v>
      </c>
      <c r="J14" s="164">
        <f>(('Saisie immeuble'!L20*'Saisie immeuble'!C20)+SUM('Saisie immeuble'!M20:P20))/12</f>
        <v>0</v>
      </c>
      <c r="K14" s="164">
        <f>'Saisie immeuble'!K20+'Résultat immeuble'!I14+J14</f>
        <v>0</v>
      </c>
      <c r="L14" s="164">
        <f>$K14-'Saisie immeuble'!$V20</f>
        <v>0</v>
      </c>
      <c r="M14" s="165">
        <f>'Saisie immeuble'!$S20-'Résultat immeuble'!L14</f>
        <v>0</v>
      </c>
      <c r="N14" s="166">
        <f>IF('Saisie immeuble'!I20&gt;0,1+0.5*('Saisie immeuble'!I20-1)+0.3*'Saisie immeuble'!J20,0)</f>
        <v>0</v>
      </c>
      <c r="O14" s="167">
        <f t="shared" si="1"/>
        <v>0</v>
      </c>
      <c r="P14" s="168">
        <f>IF(ISERROR(L14/'Saisie immeuble'!$S20),0,L14/'Saisie immeuble'!$S20)</f>
        <v>0</v>
      </c>
      <c r="Q14" s="170"/>
      <c r="R14" s="74">
        <f>IF(ISERROR('Cheque Energie'!G33),0,'Cheque Energie'!G33)</f>
        <v>0</v>
      </c>
      <c r="S14" s="74">
        <f t="shared" si="2"/>
        <v>0</v>
      </c>
      <c r="T14" s="74">
        <f t="shared" si="3"/>
        <v>0</v>
      </c>
      <c r="U14" s="79">
        <f>IF(ISERROR((L14-S14)/('Saisie immeuble'!S20+'Saisie immeuble'!T20)),0,(L14-S14)/('Saisie immeuble'!S20+'Saisie immeuble'!T20))</f>
        <v>0</v>
      </c>
    </row>
    <row r="15" spans="1:56" ht="9.75" customHeight="1" x14ac:dyDescent="0.25">
      <c r="A15" s="171"/>
      <c r="B15" s="171"/>
      <c r="C15" s="171"/>
      <c r="D15" s="172"/>
      <c r="E15" s="172"/>
      <c r="F15" s="173"/>
      <c r="G15" s="172"/>
      <c r="H15" s="172"/>
      <c r="I15" s="172"/>
      <c r="J15" s="173"/>
      <c r="K15" s="172"/>
      <c r="L15" s="173"/>
      <c r="M15" s="173"/>
      <c r="N15" s="173"/>
      <c r="O15" s="173"/>
      <c r="P15" s="173"/>
      <c r="Q15" s="173"/>
      <c r="R15" s="173"/>
      <c r="S15" s="173"/>
      <c r="T15" s="174"/>
      <c r="U15" s="172"/>
      <c r="V15" s="172"/>
      <c r="W15" s="134"/>
      <c r="X15" s="134"/>
    </row>
    <row r="16" spans="1:56" ht="24.95" customHeight="1" x14ac:dyDescent="0.25">
      <c r="A16" s="173"/>
      <c r="B16" s="281" t="s">
        <v>142</v>
      </c>
      <c r="C16" s="281"/>
      <c r="D16" s="281"/>
      <c r="E16" s="281"/>
      <c r="G16" s="306" t="s">
        <v>369</v>
      </c>
      <c r="H16" s="306"/>
      <c r="I16" s="306"/>
      <c r="J16" s="306"/>
      <c r="O16" s="173"/>
      <c r="P16" s="173"/>
      <c r="Q16" s="173"/>
      <c r="R16" s="173"/>
      <c r="S16" s="174"/>
      <c r="T16" s="172"/>
      <c r="U16" s="172"/>
      <c r="V16" s="134"/>
      <c r="W16" s="134"/>
    </row>
    <row r="17" spans="1:23" ht="20.25" customHeight="1" x14ac:dyDescent="0.25">
      <c r="A17" s="173"/>
      <c r="B17" s="307" t="s">
        <v>370</v>
      </c>
      <c r="C17" s="307" t="s">
        <v>145</v>
      </c>
      <c r="D17" s="307" t="s">
        <v>371</v>
      </c>
      <c r="E17" s="307" t="s">
        <v>145</v>
      </c>
      <c r="G17" s="306"/>
      <c r="H17" s="306"/>
      <c r="I17" s="306"/>
      <c r="J17" s="306"/>
      <c r="O17" s="173"/>
      <c r="P17" s="173"/>
      <c r="Q17" s="173"/>
      <c r="R17" s="173"/>
      <c r="S17" s="174"/>
      <c r="T17" s="172"/>
      <c r="U17" s="172"/>
      <c r="V17" s="134"/>
      <c r="W17" s="134"/>
    </row>
    <row r="18" spans="1:23" ht="20.25" customHeight="1" x14ac:dyDescent="0.25">
      <c r="A18" s="173"/>
      <c r="B18" s="307"/>
      <c r="C18" s="307"/>
      <c r="D18" s="307"/>
      <c r="E18" s="307"/>
      <c r="G18" s="284" t="s">
        <v>147</v>
      </c>
      <c r="H18" s="284"/>
      <c r="I18" s="284" t="s">
        <v>148</v>
      </c>
      <c r="J18" s="284"/>
      <c r="O18" s="173"/>
      <c r="P18" s="173"/>
      <c r="Q18" s="173"/>
      <c r="R18" s="173"/>
      <c r="S18" s="174"/>
      <c r="T18" s="172"/>
      <c r="U18" s="172"/>
      <c r="V18" s="134"/>
      <c r="W18" s="134"/>
    </row>
    <row r="19" spans="1:23" s="15" customFormat="1" ht="15" customHeight="1" x14ac:dyDescent="0.25">
      <c r="A19" s="175" t="s">
        <v>372</v>
      </c>
      <c r="B19" s="176">
        <f>IF(ISERROR(Feuil1!P14+Feuil1!AD14+Feuil1!AH14+Feuil1!AT14),0,Feuil1!P14+Feuil1!AD14+Feuil1!AH14+Feuil1!AT14)</f>
        <v>4244.0845000000008</v>
      </c>
      <c r="C19" s="81">
        <f>IF(ISERROR(B19/'Saisie immeuble'!C11),0,B19/'Saisie immeuble'!C11)</f>
        <v>105.41690263288626</v>
      </c>
      <c r="D19" s="176">
        <f>IF(ISERROR(Feuil1!P14),0,Feuil1!P14)</f>
        <v>2069.4045000000006</v>
      </c>
      <c r="E19" s="81">
        <f>IF(ISERROR(D19/'Saisie immeuble'!C11),0,D19/'Saisie immeuble'!C11)</f>
        <v>51.401005961251876</v>
      </c>
      <c r="G19" s="284"/>
      <c r="H19" s="284"/>
      <c r="I19" s="284"/>
      <c r="J19" s="284"/>
      <c r="O19" s="173"/>
      <c r="P19" s="173"/>
      <c r="Q19" s="173"/>
      <c r="R19" s="173"/>
      <c r="S19" s="174"/>
      <c r="T19" s="172"/>
      <c r="U19" s="172"/>
      <c r="V19" s="134"/>
      <c r="W19" s="134"/>
    </row>
    <row r="20" spans="1:23" x14ac:dyDescent="0.25">
      <c r="A20" s="175" t="s">
        <v>373</v>
      </c>
      <c r="B20" s="176">
        <f>IF(ISERROR(Feuil1!P15+Feuil1!AD15+Feuil1!AH15+Feuil1!AT15),0,Feuil1!P15+Feuil1!AD15+Feuil1!AH15+Feuil1!AT15)</f>
        <v>6787.2267222222235</v>
      </c>
      <c r="C20" s="81">
        <f>IF(ISERROR(B20/'Saisie immeuble'!C12),0,B20/'Saisie immeuble'!C12)</f>
        <v>105.39171928916495</v>
      </c>
      <c r="D20" s="176">
        <f>IF(ISERROR(Feuil1!P15),0,Feuil1!P15)</f>
        <v>3172.6267222222232</v>
      </c>
      <c r="E20" s="81">
        <f>IF(ISERROR(D20/'Saisie immeuble'!C12),0,D20/'Saisie immeuble'!C12)</f>
        <v>49.264390096618371</v>
      </c>
      <c r="G20" s="284"/>
      <c r="H20" s="284"/>
      <c r="I20" s="284"/>
      <c r="J20" s="284"/>
      <c r="O20" s="173"/>
      <c r="P20" s="173"/>
      <c r="Q20" s="173"/>
      <c r="R20" s="173"/>
      <c r="S20" s="174"/>
      <c r="T20" s="172"/>
      <c r="U20" s="172"/>
      <c r="V20" s="134"/>
      <c r="W20" s="134"/>
    </row>
    <row r="21" spans="1:23" x14ac:dyDescent="0.25">
      <c r="A21" s="175" t="s">
        <v>374</v>
      </c>
      <c r="B21" s="176">
        <f>IF(ISERROR(Feuil1!P16+Feuil1!AD16+Feuil1!AH16+Feuil1!AT16),0,Feuil1!P16+Feuil1!AD16+Feuil1!AH16+Feuil1!AT16)</f>
        <v>3766.0088888888886</v>
      </c>
      <c r="C21" s="81">
        <f>IF(ISERROR(B21/'Saisie immeuble'!C13),0,B21/'Saisie immeuble'!C13)</f>
        <v>116.41449424695173</v>
      </c>
      <c r="D21" s="176">
        <f>IF(ISERROR(Feuil1!P16),0,Feuil1!P16)</f>
        <v>1733.7088888888886</v>
      </c>
      <c r="E21" s="81">
        <f>IF(ISERROR(D21/'Saisie immeuble'!C13),0,D21/'Saisie immeuble'!C13)</f>
        <v>53.592237678172751</v>
      </c>
      <c r="G21" s="284"/>
      <c r="H21" s="284"/>
      <c r="I21" s="284"/>
      <c r="J21" s="284"/>
      <c r="O21" s="173"/>
      <c r="P21" s="173"/>
      <c r="Q21" s="173"/>
      <c r="R21" s="173"/>
      <c r="S21" s="174"/>
      <c r="T21" s="172"/>
      <c r="U21" s="172"/>
      <c r="V21" s="134"/>
      <c r="W21" s="134"/>
    </row>
    <row r="22" spans="1:23" x14ac:dyDescent="0.25">
      <c r="A22" s="175" t="s">
        <v>375</v>
      </c>
      <c r="B22" s="176">
        <f>IF(ISERROR(Feuil1!P17+Feuil1!AD17+Feuil1!AH17+Feuil1!AT17),0,Feuil1!P17+Feuil1!AD17+Feuil1!AH17+Feuil1!AT17)</f>
        <v>3729.0311111111109</v>
      </c>
      <c r="C22" s="81">
        <f>IF(ISERROR(B22/'Saisie immeuble'!C14),0,B22/'Saisie immeuble'!C14)</f>
        <v>117.63505082369436</v>
      </c>
      <c r="D22" s="176">
        <f>IF(ISERROR(Feuil1!P17),0,Feuil1!P17)</f>
        <v>1708.4311111111108</v>
      </c>
      <c r="E22" s="81">
        <f>IF(ISERROR(D22/'Saisie immeuble'!C14),0,D22/'Saisie immeuble'!C14)</f>
        <v>53.8937259025587</v>
      </c>
      <c r="G22" s="177"/>
      <c r="H22" s="177"/>
      <c r="I22" s="177"/>
      <c r="J22" s="177"/>
      <c r="O22" s="173"/>
      <c r="P22" s="173"/>
      <c r="Q22" s="173"/>
      <c r="R22" s="173"/>
      <c r="S22" s="174"/>
      <c r="T22" s="172"/>
      <c r="U22" s="172"/>
      <c r="V22" s="134"/>
      <c r="W22" s="134"/>
    </row>
    <row r="23" spans="1:23" x14ac:dyDescent="0.25">
      <c r="A23" s="175" t="s">
        <v>376</v>
      </c>
      <c r="B23" s="176">
        <f>IF(ISERROR(Feuil1!P18+Feuil1!AD18+Feuil1!AH18+Feuil1!AT18),0,Feuil1!P18+Feuil1!AD18+Feuil1!AH18+Feuil1!AT18)</f>
        <v>5365.3066666666664</v>
      </c>
      <c r="C23" s="81">
        <f>IF(ISERROR(B23/'Saisie immeuble'!C15),0,B23/'Saisie immeuble'!C15)</f>
        <v>90.188378999271578</v>
      </c>
      <c r="D23" s="176">
        <f>IF(ISERROR(Feuil1!P18),0,Feuil1!P18)</f>
        <v>2844.4866666666667</v>
      </c>
      <c r="E23" s="81">
        <f>IF(ISERROR(D23/'Saisie immeuble'!C15),0,D23/'Saisie immeuble'!C15)</f>
        <v>47.814534655684426</v>
      </c>
      <c r="G23" s="172"/>
      <c r="H23" s="172"/>
      <c r="O23" s="173"/>
      <c r="P23" s="173"/>
      <c r="Q23" s="173"/>
      <c r="R23" s="173"/>
      <c r="S23" s="174"/>
      <c r="T23" s="172"/>
      <c r="U23" s="172"/>
      <c r="V23" s="134"/>
      <c r="W23" s="134"/>
    </row>
    <row r="24" spans="1:23" x14ac:dyDescent="0.25">
      <c r="A24" s="175" t="s">
        <v>377</v>
      </c>
      <c r="B24" s="176">
        <f>IF(ISERROR(Feuil1!P19+Feuil1!AD19+Feuil1!AH19+Feuil1!AT19),0,Feuil1!P19+Feuil1!AD19+Feuil1!AH19+Feuil1!AT19)</f>
        <v>7304.3755555555554</v>
      </c>
      <c r="C24" s="81">
        <f>IF(ISERROR(B24/'Saisie immeuble'!C16),0,B24/'Saisie immeuble'!C16)</f>
        <v>102.8785289514867</v>
      </c>
      <c r="D24" s="176">
        <f>IF(ISERROR(Feuil1!P19),0,Feuil1!P19)</f>
        <v>3547.8755555555554</v>
      </c>
      <c r="E24" s="81">
        <f>IF(ISERROR(D24/'Saisie immeuble'!C16),0,D24/'Saisie immeuble'!C16)</f>
        <v>49.970078247261341</v>
      </c>
      <c r="G24" s="172"/>
      <c r="H24" s="172"/>
      <c r="O24" s="173"/>
      <c r="P24" s="173"/>
      <c r="Q24" s="173"/>
      <c r="R24" s="173"/>
      <c r="S24" s="174"/>
      <c r="T24" s="172"/>
      <c r="U24" s="172"/>
      <c r="V24" s="134"/>
      <c r="W24" s="134"/>
    </row>
    <row r="25" spans="1:23" x14ac:dyDescent="0.25">
      <c r="A25" s="175" t="s">
        <v>378</v>
      </c>
      <c r="B25" s="176">
        <f>IF(ISERROR(Feuil1!P20+Feuil1!AD20+Feuil1!AH20+Feuil1!AT20),0,Feuil1!P20+Feuil1!AD20+Feuil1!AH20+Feuil1!AT20)</f>
        <v>6365.0872222222224</v>
      </c>
      <c r="C25" s="81">
        <f>IF(ISERROR(B25/'Saisie immeuble'!C17),0,B25/'Saisie immeuble'!C17)</f>
        <v>106.74303575754188</v>
      </c>
      <c r="D25" s="176">
        <f>IF(ISERROR(Feuil1!P20),0,Feuil1!P20)</f>
        <v>2853.0422222222219</v>
      </c>
      <c r="E25" s="81">
        <f>IF(ISERROR(D25/'Saisie immeuble'!C17),0,D25/'Saisie immeuble'!C17)</f>
        <v>47.845752510853963</v>
      </c>
    </row>
    <row r="26" spans="1:23" x14ac:dyDescent="0.25">
      <c r="A26" s="175" t="s">
        <v>379</v>
      </c>
      <c r="B26" s="176">
        <f>IF(ISERROR(Feuil1!P21+Feuil1!AD21+Feuil1!AH21+Feuil1!AT21),0,Feuil1!P21+Feuil1!AD21+Feuil1!AH21+Feuil1!AT21)</f>
        <v>0</v>
      </c>
      <c r="C26" s="81">
        <f>IF(ISERROR(B26/'Saisie immeuble'!C18),0,B26/'Saisie immeuble'!C18)</f>
        <v>0</v>
      </c>
      <c r="D26" s="176">
        <f>IF(ISERROR(Feuil1!P21),0,Feuil1!P21)</f>
        <v>0</v>
      </c>
      <c r="E26" s="81">
        <f>IF(ISERROR(D26/'Saisie immeuble'!C18),0,D26/'Saisie immeuble'!C18)</f>
        <v>0</v>
      </c>
    </row>
    <row r="27" spans="1:23" x14ac:dyDescent="0.25">
      <c r="A27" s="175" t="s">
        <v>380</v>
      </c>
      <c r="B27" s="176">
        <f>IF(ISERROR(Feuil1!P22+Feuil1!AD22+Feuil1!AH22+Feuil1!AT22),0,Feuil1!P22+Feuil1!AD22+Feuil1!AH22+Feuil1!AT22)</f>
        <v>0</v>
      </c>
      <c r="C27" s="81">
        <f>IF(ISERROR(B27/'Saisie immeuble'!C19),0,B27/'Saisie immeuble'!C19)</f>
        <v>0</v>
      </c>
      <c r="D27" s="176">
        <f>IF(ISERROR(Feuil1!P22),0,Feuil1!P22)</f>
        <v>0</v>
      </c>
      <c r="E27" s="81">
        <f>IF(ISERROR(D27/'Saisie immeuble'!C19),0,D27/'Saisie immeuble'!C19)</f>
        <v>0</v>
      </c>
    </row>
    <row r="28" spans="1:23" x14ac:dyDescent="0.25">
      <c r="A28" s="178" t="s">
        <v>381</v>
      </c>
      <c r="B28" s="176">
        <f>IF(ISERROR(Feuil1!P23+Feuil1!AD23+Feuil1!AH23+Feuil1!AT23),0,Feuil1!P23+Feuil1!AD23+Feuil1!AH23+Feuil1!AT23)</f>
        <v>0</v>
      </c>
      <c r="C28" s="81">
        <f>IF(ISERROR(B28/'Saisie immeuble'!C20),0,B28/'Saisie immeuble'!C20)</f>
        <v>0</v>
      </c>
      <c r="D28" s="176">
        <f>IF(ISERROR(Feuil1!P23),0,Feuil1!P23)</f>
        <v>0</v>
      </c>
      <c r="E28" s="81">
        <f>IF(ISERROR(D28/'Saisie immeuble'!C20),0,D28/'Saisie immeuble'!C20)</f>
        <v>0</v>
      </c>
    </row>
    <row r="29" spans="1:23" x14ac:dyDescent="0.25">
      <c r="A29" t="s">
        <v>149</v>
      </c>
      <c r="B29" s="179"/>
      <c r="C29" s="180"/>
      <c r="D29" s="179"/>
      <c r="E29" s="180"/>
    </row>
    <row r="30" spans="1:23" ht="8.25" customHeight="1" x14ac:dyDescent="0.25"/>
  </sheetData>
  <mergeCells count="18">
    <mergeCell ref="B16:E16"/>
    <mergeCell ref="G16:J17"/>
    <mergeCell ref="B17:B18"/>
    <mergeCell ref="C17:C18"/>
    <mergeCell ref="D17:D18"/>
    <mergeCell ref="E17:E18"/>
    <mergeCell ref="G18:H21"/>
    <mergeCell ref="I18:J21"/>
    <mergeCell ref="A1:U1"/>
    <mergeCell ref="A2:C2"/>
    <mergeCell ref="D2:I2"/>
    <mergeCell ref="A3:A4"/>
    <mergeCell ref="B3:B4"/>
    <mergeCell ref="C3:C4"/>
    <mergeCell ref="D3:I3"/>
    <mergeCell ref="J3:K3"/>
    <mergeCell ref="M3:P3"/>
    <mergeCell ref="R3:U3"/>
  </mergeCells>
  <conditionalFormatting sqref="O16:W24 G23:H24 D15:X15 D5:P14 A32 A16:A28 A30">
    <cfRule type="containsErrors" dxfId="4" priority="2">
      <formula>0</formula>
    </cfRule>
  </conditionalFormatting>
  <conditionalFormatting sqref="N5:N14 S16:S24 T15">
    <cfRule type="cellIs" dxfId="3" priority="3" operator="equal">
      <formula>0</formula>
    </cfRule>
  </conditionalFormatting>
  <conditionalFormatting sqref="T5:U14">
    <cfRule type="containsErrors" dxfId="2" priority="4">
      <formula>0</formula>
    </cfRule>
  </conditionalFormatting>
  <conditionalFormatting sqref="R5:S14">
    <cfRule type="containsErrors" dxfId="1" priority="5">
      <formula>0</formula>
    </cfRule>
  </conditionalFormatting>
  <conditionalFormatting sqref="D2">
    <cfRule type="containsErrors" dxfId="0" priority="6">
      <formula>0</formula>
    </cfRule>
  </conditionalFormatting>
  <pageMargins left="0.25" right="0.25" top="0.75" bottom="0.75" header="0.51180555555555496" footer="0.51180555555555496"/>
  <pageSetup paperSize="9" firstPageNumber="0" orientation="landscape"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M80"/>
  <sheetViews>
    <sheetView topLeftCell="A52" zoomScale="75" zoomScaleNormal="75" workbookViewId="0">
      <selection activeCell="G70" sqref="G70"/>
    </sheetView>
  </sheetViews>
  <sheetFormatPr baseColWidth="10" defaultColWidth="9.140625" defaultRowHeight="15" x14ac:dyDescent="0.25"/>
  <cols>
    <col min="1" max="1" width="10.7109375" customWidth="1"/>
    <col min="2" max="2" width="13.85546875" customWidth="1"/>
    <col min="3" max="3" width="10.7109375" customWidth="1"/>
    <col min="4" max="4" width="16.28515625" customWidth="1"/>
    <col min="5" max="6" width="10.7109375" customWidth="1"/>
    <col min="7" max="7" width="59.85546875" customWidth="1"/>
    <col min="8" max="8" width="10.7109375" customWidth="1"/>
    <col min="9" max="9" width="12.140625" customWidth="1"/>
    <col min="10" max="10" width="10.7109375" customWidth="1"/>
    <col min="11" max="11" width="14.85546875" customWidth="1"/>
    <col min="12" max="12" width="10.7109375" customWidth="1"/>
    <col min="13" max="13" width="13.140625" customWidth="1"/>
    <col min="14" max="16" width="10.7109375" customWidth="1"/>
    <col min="17" max="17" width="22.85546875" customWidth="1"/>
    <col min="18" max="18" width="13.42578125" customWidth="1"/>
    <col min="19" max="27" width="10.7109375" customWidth="1"/>
    <col min="28" max="28" width="11.28515625" customWidth="1"/>
    <col min="29" max="29" width="26" customWidth="1"/>
    <col min="30" max="31" width="10.7109375" customWidth="1"/>
    <col min="32" max="32" width="14.5703125" customWidth="1"/>
    <col min="33" max="35" width="10.7109375" customWidth="1"/>
    <col min="36" max="36" width="13.140625" customWidth="1"/>
    <col min="37" max="37" width="12.5703125" customWidth="1"/>
    <col min="38" max="1025" width="10.7109375" customWidth="1"/>
  </cols>
  <sheetData>
    <row r="1" spans="2:65" ht="201" customHeight="1" x14ac:dyDescent="0.25">
      <c r="C1" s="181" t="s">
        <v>150</v>
      </c>
      <c r="D1" s="182" t="s">
        <v>182</v>
      </c>
      <c r="E1" s="182" t="s">
        <v>186</v>
      </c>
      <c r="F1" s="182" t="s">
        <v>189</v>
      </c>
      <c r="G1" s="182" t="s">
        <v>195</v>
      </c>
      <c r="H1" s="182" t="s">
        <v>199</v>
      </c>
      <c r="I1" s="182" t="s">
        <v>204</v>
      </c>
      <c r="J1" s="182" t="s">
        <v>206</v>
      </c>
      <c r="K1" s="182" t="s">
        <v>208</v>
      </c>
      <c r="L1" s="182" t="s">
        <v>212</v>
      </c>
      <c r="M1" s="182" t="s">
        <v>217</v>
      </c>
      <c r="N1" s="182" t="s">
        <v>220</v>
      </c>
      <c r="O1" s="182" t="s">
        <v>223</v>
      </c>
      <c r="P1" s="182" t="s">
        <v>225</v>
      </c>
      <c r="Q1" s="182" t="s">
        <v>227</v>
      </c>
      <c r="R1" s="182" t="s">
        <v>229</v>
      </c>
      <c r="S1" s="182" t="s">
        <v>234</v>
      </c>
      <c r="T1" s="182" t="s">
        <v>240</v>
      </c>
      <c r="U1" s="182" t="s">
        <v>243</v>
      </c>
      <c r="V1" s="182" t="s">
        <v>245</v>
      </c>
      <c r="W1" s="182" t="s">
        <v>248</v>
      </c>
      <c r="X1" s="182" t="s">
        <v>250</v>
      </c>
      <c r="Y1" s="182" t="s">
        <v>253</v>
      </c>
      <c r="Z1" s="182" t="s">
        <v>255</v>
      </c>
      <c r="AA1" s="182" t="s">
        <v>257</v>
      </c>
      <c r="AB1" s="182" t="s">
        <v>259</v>
      </c>
      <c r="AC1" s="182" t="s">
        <v>262</v>
      </c>
      <c r="AD1" s="182" t="s">
        <v>264</v>
      </c>
      <c r="AE1" s="182" t="s">
        <v>268</v>
      </c>
      <c r="AF1" s="182" t="s">
        <v>270</v>
      </c>
      <c r="AG1" s="182" t="s">
        <v>273</v>
      </c>
      <c r="AH1" s="182" t="s">
        <v>275</v>
      </c>
      <c r="AI1" s="182" t="s">
        <v>44</v>
      </c>
      <c r="AJ1" s="182" t="s">
        <v>283</v>
      </c>
      <c r="AK1" s="182" t="s">
        <v>286</v>
      </c>
      <c r="AL1" s="182" t="s">
        <v>288</v>
      </c>
      <c r="AM1" s="182" t="s">
        <v>291</v>
      </c>
      <c r="AN1" s="182" t="s">
        <v>294</v>
      </c>
      <c r="AO1" s="182" t="s">
        <v>296</v>
      </c>
      <c r="AP1" s="182" t="s">
        <v>298</v>
      </c>
      <c r="AQ1" s="182" t="s">
        <v>300</v>
      </c>
      <c r="AR1" s="182" t="s">
        <v>302</v>
      </c>
      <c r="AS1" s="182" t="s">
        <v>304</v>
      </c>
      <c r="AT1" s="182" t="s">
        <v>306</v>
      </c>
      <c r="AU1" s="182" t="s">
        <v>308</v>
      </c>
      <c r="AV1" s="182" t="s">
        <v>310</v>
      </c>
      <c r="AW1" s="182" t="s">
        <v>312</v>
      </c>
      <c r="AX1" s="182" t="s">
        <v>314</v>
      </c>
      <c r="AY1" s="182" t="s">
        <v>316</v>
      </c>
      <c r="AZ1" s="182" t="s">
        <v>318</v>
      </c>
      <c r="BA1" s="182" t="s">
        <v>320</v>
      </c>
      <c r="BB1" s="182" t="s">
        <v>322</v>
      </c>
      <c r="BC1" s="182" t="s">
        <v>323</v>
      </c>
      <c r="BD1" s="182" t="s">
        <v>324</v>
      </c>
      <c r="BE1" s="182" t="s">
        <v>325</v>
      </c>
      <c r="BF1" s="182" t="s">
        <v>326</v>
      </c>
      <c r="BG1" s="182" t="s">
        <v>327</v>
      </c>
      <c r="BH1" s="182" t="s">
        <v>328</v>
      </c>
      <c r="BI1" s="182" t="s">
        <v>329</v>
      </c>
      <c r="BJ1" s="182" t="s">
        <v>330</v>
      </c>
      <c r="BK1" s="182" t="s">
        <v>331</v>
      </c>
      <c r="BL1" s="182" t="s">
        <v>332</v>
      </c>
      <c r="BM1" s="182" t="s">
        <v>333</v>
      </c>
    </row>
    <row r="2" spans="2:65" x14ac:dyDescent="0.25">
      <c r="C2" s="181" t="s">
        <v>151</v>
      </c>
      <c r="D2" s="183">
        <v>80</v>
      </c>
      <c r="E2" s="183">
        <v>47</v>
      </c>
      <c r="F2" s="183">
        <v>61</v>
      </c>
      <c r="G2" s="183">
        <v>1</v>
      </c>
      <c r="H2" s="183">
        <v>49</v>
      </c>
      <c r="I2" s="183">
        <v>89</v>
      </c>
      <c r="J2" s="183">
        <v>60</v>
      </c>
      <c r="K2" s="183">
        <v>25</v>
      </c>
      <c r="L2" s="183">
        <v>64</v>
      </c>
      <c r="M2" s="183">
        <v>33</v>
      </c>
      <c r="N2" s="183">
        <v>18</v>
      </c>
      <c r="O2" s="183">
        <v>29</v>
      </c>
      <c r="P2" s="183">
        <v>14</v>
      </c>
      <c r="Q2" s="183">
        <v>28</v>
      </c>
      <c r="R2" s="183">
        <v>36</v>
      </c>
      <c r="S2" s="183">
        <v>63</v>
      </c>
      <c r="T2" s="183">
        <v>16</v>
      </c>
      <c r="U2" s="183">
        <v>40</v>
      </c>
      <c r="V2" s="183">
        <v>21</v>
      </c>
      <c r="W2" s="183">
        <v>5</v>
      </c>
      <c r="X2" s="183">
        <v>46</v>
      </c>
      <c r="Y2" s="183">
        <v>38</v>
      </c>
      <c r="Z2" s="183">
        <v>17</v>
      </c>
      <c r="AA2" s="183">
        <v>52</v>
      </c>
      <c r="AB2" s="183">
        <v>48</v>
      </c>
      <c r="AC2" s="183">
        <v>59</v>
      </c>
      <c r="AD2" s="183">
        <v>87</v>
      </c>
      <c r="AE2" s="183">
        <v>56</v>
      </c>
      <c r="AF2" s="183">
        <v>70</v>
      </c>
      <c r="AG2" s="183">
        <v>69</v>
      </c>
      <c r="AH2" s="183">
        <v>71</v>
      </c>
      <c r="AI2" s="183">
        <v>13</v>
      </c>
      <c r="AJ2" s="183">
        <v>57</v>
      </c>
      <c r="AK2" s="183">
        <v>12</v>
      </c>
      <c r="AL2" s="183">
        <v>40</v>
      </c>
      <c r="AM2" s="183">
        <v>26</v>
      </c>
      <c r="AN2" s="183">
        <v>34</v>
      </c>
      <c r="AO2" s="183">
        <v>68</v>
      </c>
      <c r="AP2" s="183">
        <v>54</v>
      </c>
      <c r="AQ2" s="183">
        <v>44</v>
      </c>
      <c r="AR2" s="183">
        <v>58</v>
      </c>
      <c r="AS2" s="183">
        <v>6</v>
      </c>
      <c r="AT2" s="183">
        <v>30</v>
      </c>
      <c r="AU2" s="183">
        <v>84</v>
      </c>
      <c r="AV2" s="183">
        <v>45</v>
      </c>
      <c r="AW2" s="183">
        <v>75</v>
      </c>
      <c r="AX2" s="183">
        <v>64</v>
      </c>
      <c r="AY2" s="183">
        <v>66</v>
      </c>
      <c r="AZ2" s="183">
        <v>86</v>
      </c>
      <c r="BA2" s="183">
        <v>51</v>
      </c>
      <c r="BB2" s="183">
        <v>35</v>
      </c>
      <c r="BC2" s="183">
        <v>76</v>
      </c>
      <c r="BD2" s="183">
        <v>9</v>
      </c>
      <c r="BE2" s="183">
        <v>52</v>
      </c>
      <c r="BF2" s="183">
        <v>42</v>
      </c>
      <c r="BG2" s="183">
        <v>2</v>
      </c>
      <c r="BH2" s="183">
        <v>67</v>
      </c>
      <c r="BI2" s="183">
        <v>65</v>
      </c>
      <c r="BJ2" s="183">
        <v>83</v>
      </c>
      <c r="BK2" s="183">
        <v>31</v>
      </c>
      <c r="BL2" s="183">
        <v>37</v>
      </c>
      <c r="BM2" s="183">
        <v>78</v>
      </c>
    </row>
    <row r="3" spans="2:65" x14ac:dyDescent="0.25">
      <c r="C3" s="184" t="s">
        <v>382</v>
      </c>
      <c r="D3" s="185">
        <v>1</v>
      </c>
      <c r="E3" s="185">
        <v>3</v>
      </c>
      <c r="F3" s="185">
        <v>2</v>
      </c>
      <c r="G3" s="185">
        <v>2</v>
      </c>
      <c r="H3" s="185">
        <v>2</v>
      </c>
      <c r="I3" s="185">
        <v>2</v>
      </c>
      <c r="J3" s="185">
        <v>2</v>
      </c>
      <c r="K3" s="185">
        <v>2</v>
      </c>
      <c r="L3" s="185">
        <v>3</v>
      </c>
      <c r="M3" s="185">
        <v>3</v>
      </c>
      <c r="N3" s="185">
        <v>2</v>
      </c>
      <c r="O3" s="185">
        <v>2</v>
      </c>
      <c r="P3" s="185">
        <v>1</v>
      </c>
      <c r="Q3" s="185">
        <v>2</v>
      </c>
      <c r="R3" s="185">
        <v>2</v>
      </c>
      <c r="S3" s="185">
        <v>2</v>
      </c>
      <c r="T3" s="185">
        <v>3</v>
      </c>
      <c r="U3" s="185">
        <v>3</v>
      </c>
      <c r="V3" s="185">
        <v>2</v>
      </c>
      <c r="W3" s="185">
        <v>2</v>
      </c>
      <c r="X3" s="185">
        <v>2</v>
      </c>
      <c r="Y3" s="185">
        <v>1</v>
      </c>
      <c r="Z3" s="185">
        <v>3</v>
      </c>
      <c r="AA3" s="185">
        <v>2</v>
      </c>
      <c r="AB3" s="185">
        <v>2</v>
      </c>
      <c r="AC3" s="185">
        <v>1</v>
      </c>
      <c r="AD3" s="185">
        <v>2</v>
      </c>
      <c r="AE3" s="185">
        <v>2</v>
      </c>
      <c r="AF3" s="185">
        <v>1</v>
      </c>
      <c r="AG3" s="185">
        <v>1</v>
      </c>
      <c r="AH3" s="185">
        <v>2</v>
      </c>
      <c r="AI3" s="185">
        <v>3</v>
      </c>
      <c r="AJ3" s="185">
        <v>1</v>
      </c>
      <c r="AK3" s="185">
        <v>2</v>
      </c>
      <c r="AL3" s="185">
        <v>3</v>
      </c>
      <c r="AM3" s="185">
        <v>2</v>
      </c>
      <c r="AN3" s="185">
        <v>3</v>
      </c>
      <c r="AO3" s="185">
        <v>1</v>
      </c>
      <c r="AP3" s="185">
        <v>1</v>
      </c>
      <c r="AQ3" s="185">
        <v>2</v>
      </c>
      <c r="AR3" s="185">
        <v>2</v>
      </c>
      <c r="AS3" s="185">
        <v>3</v>
      </c>
      <c r="AT3" s="185">
        <v>3</v>
      </c>
      <c r="AU3" s="185">
        <v>3</v>
      </c>
      <c r="AV3" s="185">
        <v>2</v>
      </c>
      <c r="AW3" s="185">
        <v>3</v>
      </c>
      <c r="AX3" s="185">
        <v>3</v>
      </c>
      <c r="AY3" s="185">
        <v>3</v>
      </c>
      <c r="AZ3" s="185">
        <v>2</v>
      </c>
      <c r="BA3" s="185">
        <v>1</v>
      </c>
      <c r="BB3" s="185">
        <v>2</v>
      </c>
      <c r="BC3" s="185">
        <v>1</v>
      </c>
      <c r="BD3" s="185">
        <v>2</v>
      </c>
      <c r="BE3" s="185">
        <v>2</v>
      </c>
      <c r="BF3" s="185">
        <v>2</v>
      </c>
      <c r="BG3" s="185">
        <v>2</v>
      </c>
      <c r="BH3" s="185">
        <v>1</v>
      </c>
      <c r="BI3" s="185">
        <v>3</v>
      </c>
      <c r="BJ3" s="185">
        <v>3</v>
      </c>
      <c r="BK3" s="185">
        <v>3</v>
      </c>
      <c r="BL3" s="185">
        <v>2</v>
      </c>
      <c r="BM3" s="185">
        <v>2</v>
      </c>
    </row>
    <row r="4" spans="2:65" x14ac:dyDescent="0.25">
      <c r="B4" s="186" t="s">
        <v>383</v>
      </c>
      <c r="C4" s="187"/>
      <c r="D4" s="188">
        <v>4393</v>
      </c>
      <c r="E4" s="188">
        <v>2913</v>
      </c>
      <c r="F4" s="188">
        <v>4089</v>
      </c>
      <c r="G4" s="188">
        <v>4215</v>
      </c>
      <c r="H4" s="188">
        <v>3415</v>
      </c>
      <c r="I4" s="188">
        <v>4164</v>
      </c>
      <c r="J4" s="188">
        <v>4476</v>
      </c>
      <c r="K4" s="188">
        <v>4403</v>
      </c>
      <c r="L4" s="188">
        <v>1897</v>
      </c>
      <c r="M4" s="188">
        <v>2951</v>
      </c>
      <c r="N4" s="188">
        <v>3933</v>
      </c>
      <c r="O4" s="188">
        <v>3173</v>
      </c>
      <c r="P4" s="188">
        <v>3791</v>
      </c>
      <c r="Q4" s="188">
        <v>4259</v>
      </c>
      <c r="R4" s="188">
        <v>3989</v>
      </c>
      <c r="S4" s="188">
        <v>3778</v>
      </c>
      <c r="T4" s="188">
        <v>2905</v>
      </c>
      <c r="U4" s="188">
        <v>2488</v>
      </c>
      <c r="V4" s="188">
        <v>4327</v>
      </c>
      <c r="W4" s="188">
        <v>4186</v>
      </c>
      <c r="X4" s="188">
        <v>3233</v>
      </c>
      <c r="Y4" s="188">
        <v>4214</v>
      </c>
      <c r="Z4" s="188">
        <v>2666</v>
      </c>
      <c r="AA4" s="188">
        <v>5160</v>
      </c>
      <c r="AB4" s="188">
        <v>3695</v>
      </c>
      <c r="AC4" s="188">
        <v>4589</v>
      </c>
      <c r="AD4" s="188">
        <v>3772</v>
      </c>
      <c r="AE4" s="188">
        <v>3045</v>
      </c>
      <c r="AF4" s="188">
        <v>4866</v>
      </c>
      <c r="AG4" s="188">
        <v>3955</v>
      </c>
      <c r="AH4" s="188">
        <v>4087</v>
      </c>
      <c r="AI4" s="188">
        <v>2206</v>
      </c>
      <c r="AJ4" s="188">
        <v>4872</v>
      </c>
      <c r="AK4" s="188">
        <v>4270</v>
      </c>
      <c r="AL4" s="188">
        <v>2955</v>
      </c>
      <c r="AM4" s="188">
        <v>2971</v>
      </c>
      <c r="AN4" s="188">
        <v>2322</v>
      </c>
      <c r="AO4" s="188">
        <v>4643</v>
      </c>
      <c r="AP4" s="188">
        <v>4801</v>
      </c>
      <c r="AQ4" s="188">
        <v>3099</v>
      </c>
      <c r="AR4" s="188">
        <v>4287</v>
      </c>
      <c r="AS4" s="188">
        <v>1584</v>
      </c>
      <c r="AT4" s="188">
        <v>2403</v>
      </c>
      <c r="AU4" s="188">
        <v>2813</v>
      </c>
      <c r="AV4" s="188">
        <v>4148</v>
      </c>
      <c r="AW4" s="188">
        <v>3555</v>
      </c>
      <c r="AX4" s="188">
        <v>2595</v>
      </c>
      <c r="AY4" s="188">
        <v>1937</v>
      </c>
      <c r="AZ4" s="188">
        <v>3607</v>
      </c>
      <c r="BA4" s="188">
        <v>4371</v>
      </c>
      <c r="BB4" s="188">
        <v>3358</v>
      </c>
      <c r="BC4" s="188">
        <v>4447</v>
      </c>
      <c r="BD4" s="188">
        <v>3051</v>
      </c>
      <c r="BE4" s="188">
        <v>4174</v>
      </c>
      <c r="BF4" s="188">
        <v>4850</v>
      </c>
      <c r="BG4" s="188">
        <v>4463</v>
      </c>
      <c r="BH4" s="188">
        <v>4734</v>
      </c>
      <c r="BI4" s="188">
        <v>3012</v>
      </c>
      <c r="BJ4" s="188">
        <v>1356</v>
      </c>
      <c r="BK4" s="188">
        <v>2766</v>
      </c>
      <c r="BL4" s="188">
        <v>3707</v>
      </c>
      <c r="BM4" s="188">
        <v>4291</v>
      </c>
    </row>
    <row r="5" spans="2:65" ht="15" customHeight="1" x14ac:dyDescent="0.25">
      <c r="B5" s="308" t="s">
        <v>355</v>
      </c>
      <c r="C5" s="184" t="s">
        <v>384</v>
      </c>
      <c r="D5" s="190">
        <f>IF(D$3=1,D$4*1.3,IF(D$3=2,D$4*1.32,D$4*1.35))</f>
        <v>5710.9000000000005</v>
      </c>
      <c r="E5" s="190">
        <f>IF(E$3=1,E$4*1.3,IF(E$3=2,E$4*1.32,E$4*1.35))</f>
        <v>3932.55</v>
      </c>
      <c r="F5" s="190">
        <f t="shared" ref="F5:AK5" si="0">IF(F3=1,F4*1.3,IF(F3=2,F4*1.32,F4*1.35))</f>
        <v>5397.4800000000005</v>
      </c>
      <c r="G5" s="190">
        <f t="shared" si="0"/>
        <v>5563.8</v>
      </c>
      <c r="H5" s="190">
        <f t="shared" si="0"/>
        <v>4507.8</v>
      </c>
      <c r="I5" s="190">
        <f t="shared" si="0"/>
        <v>5496.4800000000005</v>
      </c>
      <c r="J5" s="190">
        <f t="shared" si="0"/>
        <v>5908.3200000000006</v>
      </c>
      <c r="K5" s="190">
        <f t="shared" si="0"/>
        <v>5811.96</v>
      </c>
      <c r="L5" s="190">
        <f t="shared" si="0"/>
        <v>2560.9500000000003</v>
      </c>
      <c r="M5" s="190">
        <f t="shared" si="0"/>
        <v>3983.8500000000004</v>
      </c>
      <c r="N5" s="190">
        <f t="shared" si="0"/>
        <v>5191.5600000000004</v>
      </c>
      <c r="O5" s="190">
        <f t="shared" si="0"/>
        <v>4188.3600000000006</v>
      </c>
      <c r="P5" s="190">
        <f t="shared" si="0"/>
        <v>4928.3</v>
      </c>
      <c r="Q5" s="190">
        <f t="shared" si="0"/>
        <v>5621.88</v>
      </c>
      <c r="R5" s="190">
        <f t="shared" si="0"/>
        <v>5265.4800000000005</v>
      </c>
      <c r="S5" s="190">
        <f t="shared" si="0"/>
        <v>4986.96</v>
      </c>
      <c r="T5" s="190">
        <f t="shared" si="0"/>
        <v>3921.7500000000005</v>
      </c>
      <c r="U5" s="190">
        <f t="shared" si="0"/>
        <v>3358.8</v>
      </c>
      <c r="V5" s="190">
        <f t="shared" si="0"/>
        <v>5711.64</v>
      </c>
      <c r="W5" s="190">
        <f t="shared" si="0"/>
        <v>5525.52</v>
      </c>
      <c r="X5" s="190">
        <f t="shared" si="0"/>
        <v>4267.5600000000004</v>
      </c>
      <c r="Y5" s="190">
        <f t="shared" si="0"/>
        <v>5478.2</v>
      </c>
      <c r="Z5" s="190">
        <f t="shared" si="0"/>
        <v>3599.1000000000004</v>
      </c>
      <c r="AA5" s="190">
        <f t="shared" si="0"/>
        <v>6811.2000000000007</v>
      </c>
      <c r="AB5" s="190">
        <f t="shared" si="0"/>
        <v>4877.4000000000005</v>
      </c>
      <c r="AC5" s="190">
        <f t="shared" si="0"/>
        <v>5965.7</v>
      </c>
      <c r="AD5" s="190">
        <f t="shared" si="0"/>
        <v>4979.04</v>
      </c>
      <c r="AE5" s="190">
        <f t="shared" si="0"/>
        <v>4019.4</v>
      </c>
      <c r="AF5" s="190">
        <f t="shared" si="0"/>
        <v>6325.8</v>
      </c>
      <c r="AG5" s="190">
        <f t="shared" si="0"/>
        <v>5141.5</v>
      </c>
      <c r="AH5" s="190">
        <f t="shared" si="0"/>
        <v>5394.84</v>
      </c>
      <c r="AI5" s="190">
        <f t="shared" si="0"/>
        <v>2978.1000000000004</v>
      </c>
      <c r="AJ5" s="190">
        <f t="shared" si="0"/>
        <v>6333.6</v>
      </c>
      <c r="AK5" s="190">
        <f t="shared" si="0"/>
        <v>5636.4000000000005</v>
      </c>
      <c r="AL5" s="190">
        <f t="shared" ref="AL5:BQ5" si="1">IF(AL3=1,AL4*1.3,IF(AL3=2,AL4*1.32,AL4*1.35))</f>
        <v>3989.2500000000005</v>
      </c>
      <c r="AM5" s="190">
        <f t="shared" si="1"/>
        <v>3921.7200000000003</v>
      </c>
      <c r="AN5" s="190">
        <f t="shared" si="1"/>
        <v>3134.7000000000003</v>
      </c>
      <c r="AO5" s="190">
        <f t="shared" si="1"/>
        <v>6035.9000000000005</v>
      </c>
      <c r="AP5" s="190">
        <f t="shared" si="1"/>
        <v>6241.3</v>
      </c>
      <c r="AQ5" s="190">
        <f t="shared" si="1"/>
        <v>4090.6800000000003</v>
      </c>
      <c r="AR5" s="190">
        <f t="shared" si="1"/>
        <v>5658.84</v>
      </c>
      <c r="AS5" s="190">
        <f t="shared" si="1"/>
        <v>2138.4</v>
      </c>
      <c r="AT5" s="190">
        <f t="shared" si="1"/>
        <v>3244.05</v>
      </c>
      <c r="AU5" s="190">
        <f t="shared" si="1"/>
        <v>3797.55</v>
      </c>
      <c r="AV5" s="190">
        <f t="shared" si="1"/>
        <v>5475.3600000000006</v>
      </c>
      <c r="AW5" s="190">
        <f t="shared" si="1"/>
        <v>4799.25</v>
      </c>
      <c r="AX5" s="190">
        <f t="shared" si="1"/>
        <v>3503.2500000000005</v>
      </c>
      <c r="AY5" s="190">
        <f t="shared" si="1"/>
        <v>2614.9500000000003</v>
      </c>
      <c r="AZ5" s="190">
        <f t="shared" si="1"/>
        <v>4761.24</v>
      </c>
      <c r="BA5" s="190">
        <f t="shared" si="1"/>
        <v>5682.3</v>
      </c>
      <c r="BB5" s="190">
        <f t="shared" si="1"/>
        <v>4432.5600000000004</v>
      </c>
      <c r="BC5" s="190">
        <f t="shared" si="1"/>
        <v>5781.1</v>
      </c>
      <c r="BD5" s="190">
        <f t="shared" si="1"/>
        <v>4027.32</v>
      </c>
      <c r="BE5" s="190">
        <f t="shared" si="1"/>
        <v>5509.68</v>
      </c>
      <c r="BF5" s="190">
        <f t="shared" si="1"/>
        <v>6402</v>
      </c>
      <c r="BG5" s="190">
        <f t="shared" si="1"/>
        <v>5891.16</v>
      </c>
      <c r="BH5" s="190">
        <f t="shared" si="1"/>
        <v>6154.2</v>
      </c>
      <c r="BI5" s="190">
        <f t="shared" si="1"/>
        <v>4066.2000000000003</v>
      </c>
      <c r="BJ5" s="190">
        <f t="shared" si="1"/>
        <v>1830.6000000000001</v>
      </c>
      <c r="BK5" s="190">
        <f t="shared" si="1"/>
        <v>3734.1000000000004</v>
      </c>
      <c r="BL5" s="190">
        <f t="shared" si="1"/>
        <v>4893.24</v>
      </c>
      <c r="BM5" s="190">
        <f t="shared" si="1"/>
        <v>5664.12</v>
      </c>
    </row>
    <row r="6" spans="2:65" x14ac:dyDescent="0.25">
      <c r="B6" s="308"/>
      <c r="C6" s="191" t="s">
        <v>338</v>
      </c>
      <c r="D6" s="190">
        <f t="shared" ref="D6:AI6" si="2">IF(D$3=1,D$4*1.038,IF(D$3=2,D$4*1.0405,D$4*1.0435))</f>
        <v>4559.9340000000002</v>
      </c>
      <c r="E6" s="190">
        <f t="shared" si="2"/>
        <v>3039.7155000000002</v>
      </c>
      <c r="F6" s="190">
        <f t="shared" si="2"/>
        <v>4254.6045000000004</v>
      </c>
      <c r="G6" s="190">
        <f t="shared" si="2"/>
        <v>4385.7074999999995</v>
      </c>
      <c r="H6" s="190">
        <f t="shared" si="2"/>
        <v>3553.3074999999999</v>
      </c>
      <c r="I6" s="190">
        <f t="shared" si="2"/>
        <v>4332.6419999999998</v>
      </c>
      <c r="J6" s="190">
        <f t="shared" si="2"/>
        <v>4657.2780000000002</v>
      </c>
      <c r="K6" s="190">
        <f t="shared" si="2"/>
        <v>4581.3215</v>
      </c>
      <c r="L6" s="190">
        <f t="shared" si="2"/>
        <v>1979.5195000000001</v>
      </c>
      <c r="M6" s="190">
        <f t="shared" si="2"/>
        <v>3079.3685000000005</v>
      </c>
      <c r="N6" s="190">
        <f t="shared" si="2"/>
        <v>4092.2864999999997</v>
      </c>
      <c r="O6" s="190">
        <f t="shared" si="2"/>
        <v>3301.5065</v>
      </c>
      <c r="P6" s="190">
        <f t="shared" si="2"/>
        <v>3935.058</v>
      </c>
      <c r="Q6" s="190">
        <f t="shared" si="2"/>
        <v>4431.4894999999997</v>
      </c>
      <c r="R6" s="190">
        <f t="shared" si="2"/>
        <v>4150.5545000000002</v>
      </c>
      <c r="S6" s="190">
        <f t="shared" si="2"/>
        <v>3931.009</v>
      </c>
      <c r="T6" s="190">
        <f t="shared" si="2"/>
        <v>3031.3675000000003</v>
      </c>
      <c r="U6" s="190">
        <f t="shared" si="2"/>
        <v>2596.2280000000001</v>
      </c>
      <c r="V6" s="190">
        <f t="shared" si="2"/>
        <v>4502.2434999999996</v>
      </c>
      <c r="W6" s="190">
        <f t="shared" si="2"/>
        <v>4355.5330000000004</v>
      </c>
      <c r="X6" s="190">
        <f t="shared" si="2"/>
        <v>3363.9364999999998</v>
      </c>
      <c r="Y6" s="190">
        <f t="shared" si="2"/>
        <v>4374.1320000000005</v>
      </c>
      <c r="Z6" s="190">
        <f t="shared" si="2"/>
        <v>2781.9710000000005</v>
      </c>
      <c r="AA6" s="190">
        <f t="shared" si="2"/>
        <v>5368.98</v>
      </c>
      <c r="AB6" s="190">
        <f t="shared" si="2"/>
        <v>3844.6475</v>
      </c>
      <c r="AC6" s="190">
        <f t="shared" si="2"/>
        <v>4763.3820000000005</v>
      </c>
      <c r="AD6" s="190">
        <f t="shared" si="2"/>
        <v>3924.7660000000001</v>
      </c>
      <c r="AE6" s="190">
        <f t="shared" si="2"/>
        <v>3168.3224999999998</v>
      </c>
      <c r="AF6" s="190">
        <f t="shared" si="2"/>
        <v>5050.9080000000004</v>
      </c>
      <c r="AG6" s="190">
        <f t="shared" si="2"/>
        <v>4105.29</v>
      </c>
      <c r="AH6" s="190">
        <f t="shared" si="2"/>
        <v>4252.5235000000002</v>
      </c>
      <c r="AI6" s="190">
        <f t="shared" si="2"/>
        <v>2301.9610000000002</v>
      </c>
      <c r="AJ6" s="190">
        <f t="shared" ref="AJ6:BM6" si="3">IF(AJ$3=1,AJ$4*1.038,IF(AJ$3=2,AJ$4*1.0405,AJ$4*1.0435))</f>
        <v>5057.1360000000004</v>
      </c>
      <c r="AK6" s="190">
        <f t="shared" si="3"/>
        <v>4442.9349999999995</v>
      </c>
      <c r="AL6" s="190">
        <f t="shared" si="3"/>
        <v>3083.5425000000005</v>
      </c>
      <c r="AM6" s="190">
        <f t="shared" si="3"/>
        <v>3091.3254999999999</v>
      </c>
      <c r="AN6" s="190">
        <f t="shared" si="3"/>
        <v>2423.0070000000001</v>
      </c>
      <c r="AO6" s="190">
        <f t="shared" si="3"/>
        <v>4819.4340000000002</v>
      </c>
      <c r="AP6" s="190">
        <f t="shared" si="3"/>
        <v>4983.4380000000001</v>
      </c>
      <c r="AQ6" s="190">
        <f t="shared" si="3"/>
        <v>3224.5095000000001</v>
      </c>
      <c r="AR6" s="190">
        <f t="shared" si="3"/>
        <v>4460.6234999999997</v>
      </c>
      <c r="AS6" s="190">
        <f t="shared" si="3"/>
        <v>1652.9040000000002</v>
      </c>
      <c r="AT6" s="190">
        <f t="shared" si="3"/>
        <v>2507.5305000000003</v>
      </c>
      <c r="AU6" s="190">
        <f t="shared" si="3"/>
        <v>2935.3655000000003</v>
      </c>
      <c r="AV6" s="190">
        <f t="shared" si="3"/>
        <v>4315.9939999999997</v>
      </c>
      <c r="AW6" s="190">
        <f t="shared" si="3"/>
        <v>3709.6425000000004</v>
      </c>
      <c r="AX6" s="190">
        <f t="shared" si="3"/>
        <v>2707.8825000000002</v>
      </c>
      <c r="AY6" s="190">
        <f t="shared" si="3"/>
        <v>2021.2595000000001</v>
      </c>
      <c r="AZ6" s="190">
        <f t="shared" si="3"/>
        <v>3753.0834999999997</v>
      </c>
      <c r="BA6" s="190">
        <f t="shared" si="3"/>
        <v>4537.098</v>
      </c>
      <c r="BB6" s="190">
        <f t="shared" si="3"/>
        <v>3493.9989999999998</v>
      </c>
      <c r="BC6" s="190">
        <f t="shared" si="3"/>
        <v>4615.9859999999999</v>
      </c>
      <c r="BD6" s="190">
        <f t="shared" si="3"/>
        <v>3174.5655000000002</v>
      </c>
      <c r="BE6" s="190">
        <f t="shared" si="3"/>
        <v>4343.0469999999996</v>
      </c>
      <c r="BF6" s="190">
        <f t="shared" si="3"/>
        <v>5046.4250000000002</v>
      </c>
      <c r="BG6" s="190">
        <f t="shared" si="3"/>
        <v>4643.7515000000003</v>
      </c>
      <c r="BH6" s="190">
        <f t="shared" si="3"/>
        <v>4913.8919999999998</v>
      </c>
      <c r="BI6" s="190">
        <f t="shared" si="3"/>
        <v>3143.0220000000004</v>
      </c>
      <c r="BJ6" s="190">
        <f t="shared" si="3"/>
        <v>1414.9860000000001</v>
      </c>
      <c r="BK6" s="190">
        <f t="shared" si="3"/>
        <v>2886.3210000000004</v>
      </c>
      <c r="BL6" s="190">
        <f t="shared" si="3"/>
        <v>3857.1334999999999</v>
      </c>
      <c r="BM6" s="190">
        <f t="shared" si="3"/>
        <v>4464.7855</v>
      </c>
    </row>
    <row r="7" spans="2:65" x14ac:dyDescent="0.25">
      <c r="B7" s="309" t="s">
        <v>358</v>
      </c>
      <c r="C7" s="184" t="s">
        <v>384</v>
      </c>
      <c r="D7" s="190">
        <f t="shared" ref="D7:AI7" si="4">IF(D$3=1,D$4*2.7,IF(D$3=2,D$4*2.85,D$4*3.05))</f>
        <v>11861.1</v>
      </c>
      <c r="E7" s="190">
        <f t="shared" si="4"/>
        <v>8884.65</v>
      </c>
      <c r="F7" s="190">
        <f t="shared" si="4"/>
        <v>11653.65</v>
      </c>
      <c r="G7" s="190">
        <f t="shared" si="4"/>
        <v>12012.75</v>
      </c>
      <c r="H7" s="190">
        <f t="shared" si="4"/>
        <v>9732.75</v>
      </c>
      <c r="I7" s="190">
        <f t="shared" si="4"/>
        <v>11867.4</v>
      </c>
      <c r="J7" s="190">
        <f t="shared" si="4"/>
        <v>12756.6</v>
      </c>
      <c r="K7" s="190">
        <f t="shared" si="4"/>
        <v>12548.550000000001</v>
      </c>
      <c r="L7" s="190">
        <f t="shared" si="4"/>
        <v>5785.8499999999995</v>
      </c>
      <c r="M7" s="190">
        <f t="shared" si="4"/>
        <v>9000.5499999999993</v>
      </c>
      <c r="N7" s="190">
        <f t="shared" si="4"/>
        <v>11209.050000000001</v>
      </c>
      <c r="O7" s="190">
        <f t="shared" si="4"/>
        <v>9043.0500000000011</v>
      </c>
      <c r="P7" s="190">
        <f t="shared" si="4"/>
        <v>10235.700000000001</v>
      </c>
      <c r="Q7" s="190">
        <f t="shared" si="4"/>
        <v>12138.15</v>
      </c>
      <c r="R7" s="190">
        <f t="shared" si="4"/>
        <v>11368.65</v>
      </c>
      <c r="S7" s="190">
        <f t="shared" si="4"/>
        <v>10767.300000000001</v>
      </c>
      <c r="T7" s="190">
        <f t="shared" si="4"/>
        <v>8860.25</v>
      </c>
      <c r="U7" s="190">
        <f t="shared" si="4"/>
        <v>7588.4</v>
      </c>
      <c r="V7" s="190">
        <f t="shared" si="4"/>
        <v>12331.95</v>
      </c>
      <c r="W7" s="190">
        <f t="shared" si="4"/>
        <v>11930.1</v>
      </c>
      <c r="X7" s="190">
        <f t="shared" si="4"/>
        <v>9214.0500000000011</v>
      </c>
      <c r="Y7" s="190">
        <f t="shared" si="4"/>
        <v>11377.800000000001</v>
      </c>
      <c r="Z7" s="190">
        <f t="shared" si="4"/>
        <v>8131.2999999999993</v>
      </c>
      <c r="AA7" s="190">
        <f t="shared" si="4"/>
        <v>14706</v>
      </c>
      <c r="AB7" s="190">
        <f t="shared" si="4"/>
        <v>10530.75</v>
      </c>
      <c r="AC7" s="190">
        <f t="shared" si="4"/>
        <v>12390.300000000001</v>
      </c>
      <c r="AD7" s="190">
        <f t="shared" si="4"/>
        <v>10750.2</v>
      </c>
      <c r="AE7" s="190">
        <f t="shared" si="4"/>
        <v>8678.25</v>
      </c>
      <c r="AF7" s="190">
        <f t="shared" si="4"/>
        <v>13138.2</v>
      </c>
      <c r="AG7" s="190">
        <f t="shared" si="4"/>
        <v>10678.5</v>
      </c>
      <c r="AH7" s="190">
        <f t="shared" si="4"/>
        <v>11647.95</v>
      </c>
      <c r="AI7" s="190">
        <f t="shared" si="4"/>
        <v>6728.2999999999993</v>
      </c>
      <c r="AJ7" s="190">
        <f t="shared" ref="AJ7:BM7" si="5">IF(AJ$3=1,AJ$4*2.7,IF(AJ$3=2,AJ$4*2.85,AJ$4*3.05))</f>
        <v>13154.400000000001</v>
      </c>
      <c r="AK7" s="190">
        <f t="shared" si="5"/>
        <v>12169.5</v>
      </c>
      <c r="AL7" s="190">
        <f t="shared" si="5"/>
        <v>9012.75</v>
      </c>
      <c r="AM7" s="190">
        <f t="shared" si="5"/>
        <v>8467.35</v>
      </c>
      <c r="AN7" s="190">
        <f t="shared" si="5"/>
        <v>7082.0999999999995</v>
      </c>
      <c r="AO7" s="190">
        <f t="shared" si="5"/>
        <v>12536.1</v>
      </c>
      <c r="AP7" s="190">
        <f t="shared" si="5"/>
        <v>12962.7</v>
      </c>
      <c r="AQ7" s="190">
        <f t="shared" si="5"/>
        <v>8832.15</v>
      </c>
      <c r="AR7" s="190">
        <f t="shared" si="5"/>
        <v>12217.95</v>
      </c>
      <c r="AS7" s="190">
        <f t="shared" si="5"/>
        <v>4831.2</v>
      </c>
      <c r="AT7" s="190">
        <f t="shared" si="5"/>
        <v>7329.15</v>
      </c>
      <c r="AU7" s="190">
        <f t="shared" si="5"/>
        <v>8579.65</v>
      </c>
      <c r="AV7" s="190">
        <f t="shared" si="5"/>
        <v>11821.800000000001</v>
      </c>
      <c r="AW7" s="190">
        <f t="shared" si="5"/>
        <v>10842.75</v>
      </c>
      <c r="AX7" s="190">
        <f t="shared" si="5"/>
        <v>7914.7499999999991</v>
      </c>
      <c r="AY7" s="190">
        <f t="shared" si="5"/>
        <v>5907.8499999999995</v>
      </c>
      <c r="AZ7" s="190">
        <f t="shared" si="5"/>
        <v>10279.950000000001</v>
      </c>
      <c r="BA7" s="190">
        <f t="shared" si="5"/>
        <v>11801.7</v>
      </c>
      <c r="BB7" s="190">
        <f t="shared" si="5"/>
        <v>9570.3000000000011</v>
      </c>
      <c r="BC7" s="190">
        <f t="shared" si="5"/>
        <v>12006.900000000001</v>
      </c>
      <c r="BD7" s="190">
        <f t="shared" si="5"/>
        <v>8695.35</v>
      </c>
      <c r="BE7" s="190">
        <f t="shared" si="5"/>
        <v>11895.9</v>
      </c>
      <c r="BF7" s="190">
        <f t="shared" si="5"/>
        <v>13822.5</v>
      </c>
      <c r="BG7" s="190">
        <f t="shared" si="5"/>
        <v>12719.550000000001</v>
      </c>
      <c r="BH7" s="190">
        <f t="shared" si="5"/>
        <v>12781.800000000001</v>
      </c>
      <c r="BI7" s="190">
        <f t="shared" si="5"/>
        <v>9186.6</v>
      </c>
      <c r="BJ7" s="190">
        <f t="shared" si="5"/>
        <v>4135.8</v>
      </c>
      <c r="BK7" s="190">
        <f t="shared" si="5"/>
        <v>8436.2999999999993</v>
      </c>
      <c r="BL7" s="190">
        <f t="shared" si="5"/>
        <v>10564.95</v>
      </c>
      <c r="BM7" s="190">
        <f t="shared" si="5"/>
        <v>12229.35</v>
      </c>
    </row>
    <row r="8" spans="2:65" x14ac:dyDescent="0.25">
      <c r="B8" s="309"/>
      <c r="C8" s="191" t="s">
        <v>338</v>
      </c>
      <c r="D8" s="190">
        <f t="shared" ref="D8:AI8" si="6">IF(D$3=1,D$4*1.36,IF(D$3=2,D$4*1.39,D$4*1.42))</f>
        <v>5974.4800000000005</v>
      </c>
      <c r="E8" s="190">
        <f t="shared" si="6"/>
        <v>4136.46</v>
      </c>
      <c r="F8" s="190">
        <f t="shared" si="6"/>
        <v>5683.71</v>
      </c>
      <c r="G8" s="190">
        <f t="shared" si="6"/>
        <v>5858.8499999999995</v>
      </c>
      <c r="H8" s="190">
        <f t="shared" si="6"/>
        <v>4746.8499999999995</v>
      </c>
      <c r="I8" s="190">
        <f t="shared" si="6"/>
        <v>5787.96</v>
      </c>
      <c r="J8" s="190">
        <f t="shared" si="6"/>
        <v>6221.6399999999994</v>
      </c>
      <c r="K8" s="190">
        <f t="shared" si="6"/>
        <v>6120.1699999999992</v>
      </c>
      <c r="L8" s="190">
        <f t="shared" si="6"/>
        <v>2693.74</v>
      </c>
      <c r="M8" s="190">
        <f t="shared" si="6"/>
        <v>4190.42</v>
      </c>
      <c r="N8" s="190">
        <f t="shared" si="6"/>
        <v>5466.87</v>
      </c>
      <c r="O8" s="190">
        <f t="shared" si="6"/>
        <v>4410.4699999999993</v>
      </c>
      <c r="P8" s="190">
        <f t="shared" si="6"/>
        <v>5155.76</v>
      </c>
      <c r="Q8" s="190">
        <f t="shared" si="6"/>
        <v>5920.0099999999993</v>
      </c>
      <c r="R8" s="190">
        <f t="shared" si="6"/>
        <v>5544.71</v>
      </c>
      <c r="S8" s="190">
        <f t="shared" si="6"/>
        <v>5251.42</v>
      </c>
      <c r="T8" s="190">
        <f t="shared" si="6"/>
        <v>4125.0999999999995</v>
      </c>
      <c r="U8" s="190">
        <f t="shared" si="6"/>
        <v>3532.96</v>
      </c>
      <c r="V8" s="190">
        <f t="shared" si="6"/>
        <v>6014.53</v>
      </c>
      <c r="W8" s="190">
        <f t="shared" si="6"/>
        <v>5818.54</v>
      </c>
      <c r="X8" s="190">
        <f t="shared" si="6"/>
        <v>4493.87</v>
      </c>
      <c r="Y8" s="190">
        <f t="shared" si="6"/>
        <v>5731.04</v>
      </c>
      <c r="Z8" s="190">
        <f t="shared" si="6"/>
        <v>3785.72</v>
      </c>
      <c r="AA8" s="190">
        <f t="shared" si="6"/>
        <v>7172.4</v>
      </c>
      <c r="AB8" s="190">
        <f t="shared" si="6"/>
        <v>5136.0499999999993</v>
      </c>
      <c r="AC8" s="190">
        <f t="shared" si="6"/>
        <v>6241.0400000000009</v>
      </c>
      <c r="AD8" s="190">
        <f t="shared" si="6"/>
        <v>5243.08</v>
      </c>
      <c r="AE8" s="190">
        <f t="shared" si="6"/>
        <v>4232.5499999999993</v>
      </c>
      <c r="AF8" s="190">
        <f t="shared" si="6"/>
        <v>6617.76</v>
      </c>
      <c r="AG8" s="190">
        <f t="shared" si="6"/>
        <v>5378.8</v>
      </c>
      <c r="AH8" s="190">
        <f t="shared" si="6"/>
        <v>5680.9299999999994</v>
      </c>
      <c r="AI8" s="190">
        <f t="shared" si="6"/>
        <v>3132.52</v>
      </c>
      <c r="AJ8" s="190">
        <f t="shared" ref="AJ8:BM8" si="7">IF(AJ$3=1,AJ$4*1.36,IF(AJ$3=2,AJ$4*1.39,AJ$4*1.42))</f>
        <v>6625.92</v>
      </c>
      <c r="AK8" s="190">
        <f t="shared" si="7"/>
        <v>5935.2999999999993</v>
      </c>
      <c r="AL8" s="190">
        <f t="shared" si="7"/>
        <v>4196.0999999999995</v>
      </c>
      <c r="AM8" s="190">
        <f t="shared" si="7"/>
        <v>4129.6899999999996</v>
      </c>
      <c r="AN8" s="190">
        <f t="shared" si="7"/>
        <v>3297.24</v>
      </c>
      <c r="AO8" s="190">
        <f t="shared" si="7"/>
        <v>6314.4800000000005</v>
      </c>
      <c r="AP8" s="190">
        <f t="shared" si="7"/>
        <v>6529.3600000000006</v>
      </c>
      <c r="AQ8" s="190">
        <f t="shared" si="7"/>
        <v>4307.6099999999997</v>
      </c>
      <c r="AR8" s="190">
        <f t="shared" si="7"/>
        <v>5958.9299999999994</v>
      </c>
      <c r="AS8" s="190">
        <f t="shared" si="7"/>
        <v>2249.2799999999997</v>
      </c>
      <c r="AT8" s="190">
        <f t="shared" si="7"/>
        <v>3412.2599999999998</v>
      </c>
      <c r="AU8" s="190">
        <f t="shared" si="7"/>
        <v>3994.4599999999996</v>
      </c>
      <c r="AV8" s="190">
        <f t="shared" si="7"/>
        <v>5765.7199999999993</v>
      </c>
      <c r="AW8" s="190">
        <f t="shared" si="7"/>
        <v>5048.0999999999995</v>
      </c>
      <c r="AX8" s="190">
        <f t="shared" si="7"/>
        <v>3684.8999999999996</v>
      </c>
      <c r="AY8" s="190">
        <f t="shared" si="7"/>
        <v>2750.54</v>
      </c>
      <c r="AZ8" s="190">
        <f t="shared" si="7"/>
        <v>5013.7299999999996</v>
      </c>
      <c r="BA8" s="190">
        <f t="shared" si="7"/>
        <v>5944.56</v>
      </c>
      <c r="BB8" s="190">
        <f t="shared" si="7"/>
        <v>4667.62</v>
      </c>
      <c r="BC8" s="190">
        <f t="shared" si="7"/>
        <v>6047.92</v>
      </c>
      <c r="BD8" s="190">
        <f t="shared" si="7"/>
        <v>4240.8899999999994</v>
      </c>
      <c r="BE8" s="190">
        <f t="shared" si="7"/>
        <v>5801.86</v>
      </c>
      <c r="BF8" s="190">
        <f t="shared" si="7"/>
        <v>6741.4999999999991</v>
      </c>
      <c r="BG8" s="190">
        <f t="shared" si="7"/>
        <v>6203.57</v>
      </c>
      <c r="BH8" s="190">
        <f t="shared" si="7"/>
        <v>6438.2400000000007</v>
      </c>
      <c r="BI8" s="190">
        <f t="shared" si="7"/>
        <v>4277.04</v>
      </c>
      <c r="BJ8" s="190">
        <f t="shared" si="7"/>
        <v>1925.52</v>
      </c>
      <c r="BK8" s="190">
        <f t="shared" si="7"/>
        <v>3927.72</v>
      </c>
      <c r="BL8" s="190">
        <f t="shared" si="7"/>
        <v>5152.7299999999996</v>
      </c>
      <c r="BM8" s="190">
        <f t="shared" si="7"/>
        <v>5964.49</v>
      </c>
    </row>
    <row r="11" spans="2:65" ht="17.25" x14ac:dyDescent="0.25">
      <c r="AM11" s="310" t="s">
        <v>385</v>
      </c>
      <c r="AN11" s="310"/>
      <c r="AO11" s="310"/>
      <c r="AP11" s="310"/>
      <c r="AQ11" s="310"/>
      <c r="AR11" s="310"/>
    </row>
    <row r="12" spans="2:65" ht="51" x14ac:dyDescent="0.25">
      <c r="M12">
        <f>(1-((57-'Saisie immeuble'!C11)/100))</f>
        <v>0.83260000000000001</v>
      </c>
      <c r="R12" s="311" t="s">
        <v>169</v>
      </c>
      <c r="S12" s="311"/>
      <c r="T12" s="311"/>
      <c r="U12" s="311"/>
      <c r="V12" s="311"/>
      <c r="W12" s="311"/>
      <c r="X12" s="311"/>
      <c r="Y12" s="312" t="s">
        <v>210</v>
      </c>
      <c r="Z12" s="312"/>
      <c r="AA12" s="312"/>
      <c r="AB12" s="312"/>
      <c r="AC12" s="312"/>
      <c r="AD12" s="192"/>
      <c r="AM12" s="193" t="s">
        <v>205</v>
      </c>
      <c r="AN12" s="194" t="s">
        <v>207</v>
      </c>
      <c r="AO12" s="194" t="s">
        <v>211</v>
      </c>
      <c r="AP12" s="194" t="s">
        <v>216</v>
      </c>
      <c r="AQ12" s="194" t="s">
        <v>219</v>
      </c>
      <c r="AR12" s="195" t="s">
        <v>222</v>
      </c>
      <c r="AT12" s="313" t="s">
        <v>178</v>
      </c>
      <c r="AU12" s="313"/>
      <c r="AV12" s="313"/>
      <c r="AW12" s="313"/>
      <c r="AX12" s="313"/>
    </row>
    <row r="13" spans="2:65" s="196" customFormat="1" ht="48.75" customHeight="1" x14ac:dyDescent="0.25">
      <c r="C13" s="197" t="s">
        <v>386</v>
      </c>
      <c r="D13" s="198" t="s">
        <v>184</v>
      </c>
      <c r="E13" s="198" t="s">
        <v>387</v>
      </c>
      <c r="F13" s="198" t="s">
        <v>388</v>
      </c>
      <c r="G13" s="198" t="s">
        <v>172</v>
      </c>
      <c r="H13" s="198" t="s">
        <v>389</v>
      </c>
      <c r="I13" s="198" t="s">
        <v>390</v>
      </c>
      <c r="J13" s="198" t="s">
        <v>391</v>
      </c>
      <c r="K13" s="198" t="s">
        <v>392</v>
      </c>
      <c r="L13" s="198" t="s">
        <v>218</v>
      </c>
      <c r="M13" s="189" t="s">
        <v>393</v>
      </c>
      <c r="N13" s="198" t="s">
        <v>394</v>
      </c>
      <c r="O13" s="198" t="s">
        <v>395</v>
      </c>
      <c r="P13" s="198" t="s">
        <v>396</v>
      </c>
      <c r="Q13" s="199" t="s">
        <v>228</v>
      </c>
      <c r="R13" s="200" t="s">
        <v>177</v>
      </c>
      <c r="S13" s="201" t="s">
        <v>178</v>
      </c>
      <c r="T13" s="201" t="s">
        <v>397</v>
      </c>
      <c r="U13" s="201" t="s">
        <v>180</v>
      </c>
      <c r="V13" s="201" t="s">
        <v>181</v>
      </c>
      <c r="W13" s="201"/>
      <c r="X13" s="202" t="s">
        <v>398</v>
      </c>
      <c r="Y13" s="203" t="s">
        <v>399</v>
      </c>
      <c r="Z13" s="204" t="s">
        <v>214</v>
      </c>
      <c r="AA13" s="205" t="s">
        <v>180</v>
      </c>
      <c r="AB13" s="205" t="s">
        <v>215</v>
      </c>
      <c r="AC13" s="206" t="s">
        <v>400</v>
      </c>
      <c r="AD13" s="207" t="s">
        <v>235</v>
      </c>
      <c r="AE13" s="208"/>
      <c r="AF13" s="209"/>
      <c r="AG13" s="210" t="s">
        <v>236</v>
      </c>
      <c r="AH13" s="211" t="s">
        <v>256</v>
      </c>
      <c r="AI13" s="212" t="s">
        <v>236</v>
      </c>
      <c r="AJ13" s="213" t="s">
        <v>401</v>
      </c>
      <c r="AK13" s="214" t="s">
        <v>233</v>
      </c>
      <c r="AL13" s="215" t="s">
        <v>402</v>
      </c>
      <c r="AM13" s="216">
        <v>13</v>
      </c>
      <c r="AN13" s="217">
        <v>5</v>
      </c>
      <c r="AO13" s="217">
        <v>7</v>
      </c>
      <c r="AP13" s="217">
        <v>7</v>
      </c>
      <c r="AQ13" s="217">
        <v>7</v>
      </c>
      <c r="AR13" s="217">
        <f t="shared" ref="AR13:AR53" si="8">SUM(AM13:AQ13)</f>
        <v>39</v>
      </c>
      <c r="AS13" s="218" t="s">
        <v>203</v>
      </c>
      <c r="AT13" s="219" t="s">
        <v>403</v>
      </c>
      <c r="AU13" s="220" t="s">
        <v>230</v>
      </c>
      <c r="AV13" s="220" t="s">
        <v>404</v>
      </c>
      <c r="AW13" s="220" t="s">
        <v>405</v>
      </c>
      <c r="AX13" s="221" t="s">
        <v>406</v>
      </c>
    </row>
    <row r="14" spans="2:65" x14ac:dyDescent="0.25">
      <c r="B14" s="222" t="s">
        <v>84</v>
      </c>
      <c r="C14" s="184">
        <f>IF('Saisie immeuble'!D11=Feuil1!$B$4,4,IF(AND('Saisie immeuble'!D11=$B$5,('Saisie immeuble'!$C$4=Feuil1!$C$5)),5,IF(AND('Saisie immeuble'!D11=$B$5,('Saisie immeuble'!$C$4=Feuil1!$C$6)),6,IF(AND('Saisie immeuble'!D11=Feuil1!$B$7,('Saisie immeuble'!$C$4=Feuil1!$C$7)),7,IF(AND('Saisie immeuble'!D11=Feuil1!$B$7,('Saisie immeuble'!$C$4=Feuil1!$C$8)),8,0)))))</f>
        <v>6</v>
      </c>
      <c r="D14" s="223">
        <f>HLOOKUP('Saisie immeuble'!$C$3,Feuil1!$D$1:$BM$8,Feuil1!C14,0)</f>
        <v>3709.6425000000004</v>
      </c>
      <c r="E14" s="184">
        <f>HLOOKUP('Saisie immeuble'!$C$3,Feuil1!$D$1:$BM$8,3,0)</f>
        <v>3</v>
      </c>
      <c r="F14" s="184">
        <f>IF(E14=1,450+'Saisie immeuble'!C11*6,IF(E14=2,300+'Saisie immeuble'!C11*5,150+'Saisie immeuble'!C11*3))</f>
        <v>270.77999999999997</v>
      </c>
      <c r="G14" s="184">
        <f>IF(E14=1,1400+'Saisie immeuble'!C11*6,IF(E14=2,1100+'Saisie immeuble'!C11*6,500+'Saisie immeuble'!C11*6))</f>
        <v>741.56</v>
      </c>
      <c r="H14" s="223">
        <f>IF('Saisie immeuble'!$C$6="oui",IF('Saisie immeuble'!D11="dernier étage",IF(Feuil1!E14=1,0.4*Feuil1!D14,IF(Feuil1!E14=2,0.35*Feuil1!D14,IF(Feuil1!E14=3,0.3*Feuil1!D14,0))),0),0)</f>
        <v>0</v>
      </c>
      <c r="I14" s="223">
        <f>IF('Saisie immeuble'!$C$7="oui",IF(AND(Feuil1!E14=1,('Saisie immeuble'!$C$4=Feuil1!$C$5)),0.3*Feuil1!D14,IF(AND(Feuil1!E14=1,('Saisie immeuble'!$C$4=Feuil1!$C$6)),0.2*Feuil1!D14,IF(AND(Feuil1!E14=2,('Saisie immeuble'!$C$4=Feuil1!$C$5)),0.25*Feuil1!D14,IF(AND(Feuil1!E14=2,('Saisie immeuble'!$C$4=Feuil1!$C$6)),0.15*Feuil1!D14,IF(AND(Feuil1!E14=3,('Saisie immeuble'!$C$4=Feuil1!$C$5)),0.2*Feuil1!D14,IF(AND(Feuil1!E14=3,('Saisie immeuble'!$C$4=Feuil1!$C$6)),0.12*Feuil1!D14)))))),0)</f>
        <v>445.15710000000001</v>
      </c>
      <c r="J14" s="223">
        <f>IF('Saisie immeuble'!$C$8="oui",IF(AND(Feuil1!E14=1,('Saisie immeuble'!$C$4=Feuil1!$C$5)),0.22*Feuil1!D14,IF(AND(Feuil1!E14=1,('Saisie immeuble'!$C$4=Feuil1!$C$6)),0.14*Feuil1!D14,IF(AND(Feuil1!E14=2,('Saisie immeuble'!$C$4=Feuil1!$C$5)),0.2*Feuil1!D14,IF(AND(Feuil1!E14=2,('Saisie immeuble'!$C$4=Feuil1!$C$6)),0.12*Feuil1!D14,IF(AND(Feuil1!E14=3,('Saisie immeuble'!$C$4=Feuil1!$C$5)),0.16*Feuil1!D14,IF(AND(Feuil1!E14=3,('Saisie immeuble'!$C$4=Feuil1!$C$6)),0.1*Feuil1!D14)))))),0)</f>
        <v>370.96425000000005</v>
      </c>
      <c r="K14" s="223">
        <f>IF('Saisie immeuble'!$F$7="oui",IF('Saisie immeuble'!D11="rez de chaussée",IF(Feuil1!E14=1,0.2*Feuil1!D14,IF(Feuil1!E14=2,0.16*Feuil1!D14,IF(Feuil1!E14=3,0.12*Feuil1!D14,0))),0),0)</f>
        <v>445.15710000000001</v>
      </c>
      <c r="L14" s="184">
        <f>IF('Saisie immeuble'!C11&gt;0,IF('Saisie immeuble'!C11&gt;57,('Saisie immeuble'!C11-57)*55,('Saisie immeuble'!C11-57)*35),0)</f>
        <v>-585.90000000000009</v>
      </c>
      <c r="M14" s="184">
        <f>IF('Saisie immeuble'!C11&gt;0,IF('Saisie immeuble'!$H$7=Feuil1!$B$78,IF(Feuil1!E14=1,700,IF(Feuil1!E14=2,550,400)),IF('Saisie immeuble'!$H$7=Feuil1!$B$79,IF(Feuil1!E14=1,350,IF(Feuil1!E14=2,275,200)),0))*(1-((57-'Saisie immeuble'!C11)/100)),0)</f>
        <v>0</v>
      </c>
      <c r="N14" s="223">
        <f>D14-IF('Saisie immeuble'!G11=Feuil1!$B$68,Feuil1!F14,IF('Saisie immeuble'!G11=Feuil1!$B$69,G14,0))-H14-I14-J14+L14-K14+M14</f>
        <v>1862.4640500000005</v>
      </c>
      <c r="O14" s="223">
        <f t="shared" ref="O14:O53" si="9">N14*1.04</f>
        <v>1936.9626120000005</v>
      </c>
      <c r="P14" s="223">
        <f>IF('Saisie immeuble'!$C$5="individuel",N14/AJ14,O14/AJ14)</f>
        <v>2069.4045000000006</v>
      </c>
      <c r="Q14" s="224">
        <f t="shared" ref="Q14:Q53" si="10">P14*AL14+IF(R14="gaz",AA14,0)</f>
        <v>322.20628065000011</v>
      </c>
      <c r="R14" s="225" t="str">
        <f>VLOOKUP('Saisie immeuble'!E11,Feuil1!$G$58:$I$75,3,0)</f>
        <v>élec</v>
      </c>
      <c r="S14" s="226" t="str">
        <f>VLOOKUP('Saisie immeuble'!F11,Feuil1!$Q$57:$U$70,5,0)</f>
        <v>élec</v>
      </c>
      <c r="T14" s="184">
        <f>IF(AND(R14&lt;&gt;"élec",(S14&lt;&gt;"élec"),('Saisie immeuble'!C11&lt;40)),'Référence&amp;tarifs'!$A$6,IF(AND(R14="élec",(S14="élec")),'Référence&amp;tarifs'!$A$8,'Référence&amp;tarifs'!$A$7))</f>
        <v>9</v>
      </c>
      <c r="U14" s="184">
        <f>VLOOKUP(T14,'Référence&amp;tarifs'!$A$6:$C$10,2,0)</f>
        <v>142.08000000000001</v>
      </c>
      <c r="V14" s="184">
        <f>VLOOKUP(T14,'Référence&amp;tarifs'!$A$6:$C$10,3,0)</f>
        <v>0.15570000000000001</v>
      </c>
      <c r="W14" s="184"/>
      <c r="X14" s="227" t="e">
        <f>IF('Résultat immeuble'!N5&lt;1.1,HLOOKUP(Feuil1!T14,'Référence&amp;tarifs'!#REF!,2,0),IF('Résultat immeuble'!N5&gt;1.9,HLOOKUP(Feuil1!T14,'Référence&amp;tarifs'!#REF!,4,0),HLOOKUP(Feuil1!T14,'Référence&amp;tarifs'!#REF!,3,0)))</f>
        <v>#REF!</v>
      </c>
      <c r="Y14" s="228">
        <f>IF(R14="gaz",N14,0)+IF(S14="gaz",AT14,0)+IF('Saisie immeuble'!H11="gaz de ville",Feuil1!AH14,0)</f>
        <v>0</v>
      </c>
      <c r="Z14" s="184" t="str">
        <f>IF(Y14&lt;1000,'Référence&amp;tarifs'!$A$16,IF(Y14&gt;5999,'Référence&amp;tarifs'!$A$18,'Référence&amp;tarifs'!$A$17))</f>
        <v>base</v>
      </c>
      <c r="AA14" s="184">
        <f>VLOOKUP(Z14,'Référence&amp;tarifs'!$A$16:$C$18,2,0)</f>
        <v>108</v>
      </c>
      <c r="AB14" s="184">
        <f>VLOOKUP(Z14,'Référence&amp;tarifs'!$A$16:$C$18,3,0)</f>
        <v>7.8899999999999998E-2</v>
      </c>
      <c r="AC14" s="229" t="e">
        <f>IF('Saisie immeuble'!$C$5="individuel",IF('Résultat immeuble'!N5=1,HLOOKUP(Feuil1!Z14,'Référence&amp;tarifs'!#REF!,2,0),IF('Résultat immeuble'!N5&gt;1.9,HLOOKUP(Feuil1!Z14,'Référence&amp;tarifs'!#REF!,4,0),HLOOKUP(Feuil1!Z14,'Référence&amp;tarifs'!#REF!,3,0))),IF('Saisie immeuble'!$C$5="collectif",IF('Résultat immeuble'!N5=1,'Référence&amp;tarifs'!#REF!,IF('Résultat immeuble'!N5&gt;1.9,'Référence&amp;tarifs'!#REF!,IF(AND('Résultat immeuble'!N5&lt;2,('Résultat immeuble'!N5&gt;1)),'Référence&amp;tarifs'!#REF!,0)))))</f>
        <v>#REF!</v>
      </c>
      <c r="AD14" s="230">
        <f>IF('Saisie immeuble'!I11+'Saisie immeuble'!J11&gt;0,18*'Saisie immeuble'!C11+3.5*('Saisie immeuble'!I11+'Saisie immeuble'!J11-1)*'Saisie immeuble'!C11,0)</f>
        <v>724.68</v>
      </c>
      <c r="AE14" s="231"/>
      <c r="AF14" s="232"/>
      <c r="AG14" s="233">
        <f t="shared" ref="AG14:AG53" si="11">AD14*V14+U14</f>
        <v>254.912676</v>
      </c>
      <c r="AH14" s="228">
        <f>IF('Saisie immeuble'!I11+'Saisie immeuble'!J11&gt;0,350+80*('Saisie immeuble'!I11+'Saisie immeuble'!J11-1),0)</f>
        <v>350</v>
      </c>
      <c r="AI14" s="233">
        <f>IF('Saisie immeuble'!H11="gaz de ville",Feuil1!AB14,IF('Saisie immeuble'!H11=$B$72,V14,0))*Feuil1!AH14+IF(AND(R14&lt;&gt;"gaz",(S14&lt;&gt;"gaz"),('Saisie immeuble'!H11="gaz de ville")),Feuil1!AA14,0)</f>
        <v>54.495000000000005</v>
      </c>
      <c r="AJ14" s="228">
        <f>VLOOKUP('Saisie immeuble'!E11,Feuil1!$G$58:$I$75,2,0)</f>
        <v>0.9</v>
      </c>
      <c r="AK14" s="184" t="str">
        <f>VLOOKUP('Saisie immeuble'!E11,Feuil1!$G$58:$I$75,3,0)</f>
        <v>élec</v>
      </c>
      <c r="AL14" s="234">
        <f>IF(AK14="élec",V14,IF(AK14="gaz",AB14,IF(AK14="fioul",'Référence&amp;tarifs'!$B$25,IF(AK14="bois buche",'Référence&amp;tarifs'!$B$23,IF(AK14="bois granulés",'Référence&amp;tarifs'!$B$24,IF(AK14=I58,0.8*('Référence&amp;tarifs'!$B$23+'Référence&amp;tarifs'!B16)/2+0.2*Feuil1!AB14,0))))))</f>
        <v>0.15570000000000001</v>
      </c>
      <c r="AM14" s="228">
        <f>IF('Saisie immeuble'!I11+'Saisie immeuble'!J11&gt;0,Feuil1!$AM$13+2*('Saisie immeuble'!I11+'Saisie immeuble'!J11-1),0)</f>
        <v>13</v>
      </c>
      <c r="AN14" s="184">
        <f>IF('Saisie immeuble'!I11+'Saisie immeuble'!J11&gt;0,Feuil1!$AN$13*('Saisie immeuble'!I11+'Saisie immeuble'!J11),0)</f>
        <v>5</v>
      </c>
      <c r="AO14" s="184">
        <f>IF('Saisie immeuble'!I11+'Saisie immeuble'!J11&gt;0,Feuil1!$AO$13+3*('Saisie immeuble'!I11+'Saisie immeuble'!J11-1),0)</f>
        <v>7</v>
      </c>
      <c r="AP14" s="184">
        <f>IF('Saisie immeuble'!I11+'Saisie immeuble'!J11&gt;0,Feuil1!$AP$13+2*('Saisie immeuble'!I11+'Saisie immeuble'!J11-1),0)</f>
        <v>7</v>
      </c>
      <c r="AQ14" s="184">
        <f>IF('Saisie immeuble'!I11+'Saisie immeuble'!J11&gt;0,Feuil1!$AQ$13*('Saisie immeuble'!I11+'Saisie immeuble'!J11),0)</f>
        <v>7</v>
      </c>
      <c r="AR14" s="184">
        <f t="shared" si="8"/>
        <v>39</v>
      </c>
      <c r="AS14" s="224">
        <f>AR14*'Saisie immeuble'!$F$8+IF(AND(R14&lt;&gt;"gaz",(S14="gaz")),AA14,0)</f>
        <v>104.52000000000001</v>
      </c>
      <c r="AT14" s="228">
        <f>IF('Saisie immeuble'!I11+'Saisie immeuble'!J11&gt;0,1100+700*('Saisie immeuble'!I11+'Saisie immeuble'!J11-1),0)</f>
        <v>1100</v>
      </c>
      <c r="AU14" s="235">
        <f>IF(AW14="élec",Feuil1!V14,IF(AW14="gaz",Feuil1!AB14,IF(AW14="fioul",'Référence&amp;tarifs'!$B$25,IF(AW14="bois",('Référence&amp;tarifs'!$B$23+'Référence&amp;tarifs'!$B$24)/2,0))))</f>
        <v>0.15570000000000001</v>
      </c>
      <c r="AV14" s="184">
        <f>VLOOKUP('Saisie immeuble'!F11,Feuil1!$Q$57:$U$70,4,0)</f>
        <v>0.72</v>
      </c>
      <c r="AW14" s="184" t="str">
        <f>VLOOKUP('Saisie immeuble'!F11,Feuil1!$Q$57:$U$70,5,0)</f>
        <v>élec</v>
      </c>
      <c r="AX14" s="233">
        <f t="shared" ref="AX14:AX53" si="12">(AT14/AV14)*AU14</f>
        <v>237.87500000000003</v>
      </c>
    </row>
    <row r="15" spans="2:65" x14ac:dyDescent="0.25">
      <c r="B15" s="228" t="s">
        <v>90</v>
      </c>
      <c r="C15" s="184">
        <f>IF('Saisie immeuble'!D12=Feuil1!$B$4,4,IF(AND('Saisie immeuble'!D12=$B$5,('Saisie immeuble'!$C$4=Feuil1!$C$5)),5,IF(AND('Saisie immeuble'!D12=$B$5,('Saisie immeuble'!$C$4=Feuil1!$C$6)),6,IF(AND('Saisie immeuble'!D12=Feuil1!$B$7,('Saisie immeuble'!$C$4=Feuil1!$C$7)),7,IF(AND('Saisie immeuble'!D12=Feuil1!$B$7,('Saisie immeuble'!$C$4=Feuil1!$C$8)),8,0)))))</f>
        <v>6</v>
      </c>
      <c r="D15" s="223">
        <f>HLOOKUP('Saisie immeuble'!$C$3,Feuil1!$D$1:$BM$8,Feuil1!C15,0)</f>
        <v>3709.6425000000004</v>
      </c>
      <c r="E15" s="184">
        <f>HLOOKUP('Saisie immeuble'!$C$3,Feuil1!$D$1:$BM$8,3,0)</f>
        <v>3</v>
      </c>
      <c r="F15" s="184">
        <f>IF(E15=1,450+'Saisie immeuble'!C12*6,IF(E15=2,300+'Saisie immeuble'!C12*5,150+'Saisie immeuble'!C12*3))</f>
        <v>343.20000000000005</v>
      </c>
      <c r="G15" s="184">
        <f>IF(E15=1,1400+'Saisie immeuble'!C12*6,IF(E15=2,1100+'Saisie immeuble'!C12*6,500+'Saisie immeuble'!C12*6))</f>
        <v>886.40000000000009</v>
      </c>
      <c r="H15" s="223">
        <f>IF('Saisie immeuble'!$C$6="oui",IF('Saisie immeuble'!D12="dernier étage",IF(Feuil1!E15=1,0.4*Feuil1!D15,IF(Feuil1!E15=2,0.35*Feuil1!D15,IF(Feuil1!E15=3,0.3*Feuil1!D15,0))),0),0)</f>
        <v>0</v>
      </c>
      <c r="I15" s="223">
        <f>IF('Saisie immeuble'!$C$7="oui",IF(AND(Feuil1!E15=1,('Saisie immeuble'!$C$4=Feuil1!$C$5)),0.3*Feuil1!D15,IF(AND(Feuil1!E15=1,('Saisie immeuble'!$C$4=Feuil1!$C$6)),0.2*Feuil1!D15,IF(AND(Feuil1!E15=2,('Saisie immeuble'!$C$4=Feuil1!$C$5)),0.25*Feuil1!D15,IF(AND(Feuil1!E15=2,('Saisie immeuble'!$C$4=Feuil1!$C$6)),0.15*Feuil1!D15,IF(AND(Feuil1!E15=3,('Saisie immeuble'!$C$4=Feuil1!$C$5)),0.2*Feuil1!D15,IF(AND(Feuil1!E15=3,('Saisie immeuble'!$C$4=Feuil1!$C$6)),0.12*Feuil1!D15)))))),0)</f>
        <v>445.15710000000001</v>
      </c>
      <c r="J15" s="223">
        <f>IF('Saisie immeuble'!$C$8="oui",IF(AND(Feuil1!E15=1,('Saisie immeuble'!$C$4=Feuil1!$C$5)),0.22*Feuil1!D15,IF(AND(Feuil1!E15=1,('Saisie immeuble'!$C$4=Feuil1!$C$6)),0.14*Feuil1!D15,IF(AND(Feuil1!E15=2,('Saisie immeuble'!$C$4=Feuil1!$C$5)),0.2*Feuil1!D15,IF(AND(Feuil1!E15=2,('Saisie immeuble'!$C$4=Feuil1!$C$6)),0.12*Feuil1!D15,IF(AND(Feuil1!E15=3,('Saisie immeuble'!$C$4=Feuil1!$C$5)),0.16*Feuil1!D15,IF(AND(Feuil1!E15=3,('Saisie immeuble'!$C$4=Feuil1!$C$6)),0.1*Feuil1!D15)))))),0)</f>
        <v>370.96425000000005</v>
      </c>
      <c r="K15" s="223">
        <f>IF('Saisie immeuble'!$F$7="oui",IF('Saisie immeuble'!D12="rez de chaussée",IF(Feuil1!E15=1,0.2*Feuil1!D15,IF(Feuil1!E15=2,0.16*Feuil1!D15,IF(Feuil1!E15=3,0.12*Feuil1!D15,0))),0),0)</f>
        <v>445.15710000000001</v>
      </c>
      <c r="L15" s="184">
        <f>IF('Saisie immeuble'!C12&gt;0,IF('Saisie immeuble'!C12&gt;57,('Saisie immeuble'!C12-57)*55,('Saisie immeuble'!C12-57)*35),0)</f>
        <v>407.00000000000034</v>
      </c>
      <c r="M15" s="184">
        <f>IF('Saisie immeuble'!C12&gt;0,IF('Saisie immeuble'!$H$7=Feuil1!$B$78,IF(Feuil1!E15=1,700,IF(Feuil1!E15=2,550,400)),IF('Saisie immeuble'!$H$7=Feuil1!$B$79,IF(Feuil1!E15=1,350,IF(Feuil1!E15=2,275,200)),0))*(1-((57-'Saisie immeuble'!C12)/100)),0)</f>
        <v>0</v>
      </c>
      <c r="N15" s="223">
        <f>D15-IF('Saisie immeuble'!G12=Feuil1!$B$68,Feuil1!F15,IF('Saisie immeuble'!G12=Feuil1!$B$69,G15,0))-H15-I15-J15+L15-K15+M15</f>
        <v>2855.364050000001</v>
      </c>
      <c r="O15" s="223">
        <f t="shared" si="9"/>
        <v>2969.5786120000012</v>
      </c>
      <c r="P15" s="223">
        <f>IF('Saisie immeuble'!$C$5="individuel",N15/AJ15,O15/AJ15)</f>
        <v>3172.6267222222232</v>
      </c>
      <c r="Q15" s="224">
        <f t="shared" si="10"/>
        <v>493.97798065000018</v>
      </c>
      <c r="R15" s="225" t="str">
        <f>VLOOKUP('Saisie immeuble'!E12,Feuil1!$G$58:$I$75,3,0)</f>
        <v>élec</v>
      </c>
      <c r="S15" s="226" t="str">
        <f>VLOOKUP('Saisie immeuble'!F12,Feuil1!$Q$57:$U$70,5,0)</f>
        <v>élec</v>
      </c>
      <c r="T15" s="184">
        <f>IF(AND(R15&lt;&gt;"élec",(S15&lt;&gt;"élec"),('Saisie immeuble'!C12&lt;40)),'Référence&amp;tarifs'!$A$6,IF(AND(R15="élec",(S15="élec")),'Référence&amp;tarifs'!$A$8,'Référence&amp;tarifs'!$A$7))</f>
        <v>9</v>
      </c>
      <c r="U15" s="184">
        <f>VLOOKUP(T15,'Référence&amp;tarifs'!$A$6:$C$10,2,0)</f>
        <v>142.08000000000001</v>
      </c>
      <c r="V15" s="184">
        <f>VLOOKUP(T15,'Référence&amp;tarifs'!$A$6:$C$10,3,0)</f>
        <v>0.15570000000000001</v>
      </c>
      <c r="W15" s="184"/>
      <c r="X15" s="227" t="e">
        <f>IF('Résultat immeuble'!N6&lt;1.1,HLOOKUP(Feuil1!T15,'Référence&amp;tarifs'!#REF!,2,0),IF('Résultat immeuble'!N6&gt;1.9,HLOOKUP(Feuil1!T15,'Référence&amp;tarifs'!#REF!,4,0),HLOOKUP(Feuil1!T15,'Référence&amp;tarifs'!#REF!,3,0)))</f>
        <v>#REF!</v>
      </c>
      <c r="Y15" s="228">
        <f>IF(R15="gaz",N15,0)+IF(S15="gaz",AT15,0)+IF('Saisie immeuble'!H12="gaz de ville",Feuil1!AH15,0)</f>
        <v>0</v>
      </c>
      <c r="Z15" s="184" t="str">
        <f>IF(Y15&lt;1000,'Référence&amp;tarifs'!$A$16,IF(Y15&gt;5999,'Référence&amp;tarifs'!$A$18,'Référence&amp;tarifs'!$A$17))</f>
        <v>base</v>
      </c>
      <c r="AA15" s="184">
        <f>VLOOKUP(Z15,'Référence&amp;tarifs'!$A$16:$C$18,2,0)</f>
        <v>108</v>
      </c>
      <c r="AB15" s="184">
        <f>VLOOKUP(Z15,'Référence&amp;tarifs'!$A$16:$C$18,3,0)</f>
        <v>7.8899999999999998E-2</v>
      </c>
      <c r="AC15" s="229" t="e">
        <f>IF('Saisie immeuble'!$C$5="individuel",IF('Résultat immeuble'!N6=1,HLOOKUP(Feuil1!Z15,'Référence&amp;tarifs'!#REF!,2,0),IF('Résultat immeuble'!N6&gt;1.9,HLOOKUP(Feuil1!Z15,'Référence&amp;tarifs'!#REF!,4,0),HLOOKUP(Feuil1!Z15,'Référence&amp;tarifs'!#REF!,3,0))),IF('Saisie immeuble'!$C$5="collectif",IF('Résultat immeuble'!N6=1,'Référence&amp;tarifs'!#REF!,IF('Résultat immeuble'!N6&gt;1.9,'Référence&amp;tarifs'!#REF!,IF(AND('Résultat immeuble'!N6&lt;2,('Résultat immeuble'!N6&gt;1)),'Référence&amp;tarifs'!#REF!,0)))))</f>
        <v>#REF!</v>
      </c>
      <c r="AD15" s="230">
        <f>IF('Saisie immeuble'!I12+'Saisie immeuble'!J12&gt;0,18*'Saisie immeuble'!C12+3.5*('Saisie immeuble'!I12+'Saisie immeuble'!J12-1)*'Saisie immeuble'!C12,0)</f>
        <v>1384.6000000000001</v>
      </c>
      <c r="AE15" s="231"/>
      <c r="AF15" s="232"/>
      <c r="AG15" s="233">
        <f t="shared" si="11"/>
        <v>357.66222000000005</v>
      </c>
      <c r="AH15" s="228">
        <f>IF('Saisie immeuble'!I12+'Saisie immeuble'!J12&gt;0,350+80*('Saisie immeuble'!I12+'Saisie immeuble'!J12-1),0)</f>
        <v>430</v>
      </c>
      <c r="AI15" s="233">
        <f>IF('Saisie immeuble'!H12="gaz de ville",Feuil1!AB15,IF('Saisie immeuble'!H12=$B$72,V15,0))*Feuil1!AH15+IF(AND(R15&lt;&gt;"gaz",(S15&lt;&gt;"gaz"),('Saisie immeuble'!H12="gaz de ville")),Feuil1!AA15,0)</f>
        <v>66.951000000000008</v>
      </c>
      <c r="AJ15" s="228">
        <f>VLOOKUP('Saisie immeuble'!E12,Feuil1!$G$58:$I$75,2,0)</f>
        <v>0.9</v>
      </c>
      <c r="AK15" s="184" t="str">
        <f>VLOOKUP('Saisie immeuble'!E12,Feuil1!$G$58:$I$75,3,0)</f>
        <v>élec</v>
      </c>
      <c r="AL15" s="234">
        <f>IF(AK15="élec",V15,IF(AK15="gaz",AB15,IF(AK15="fioul",'Référence&amp;tarifs'!$B$25,IF(AK15="bois buche",'Référence&amp;tarifs'!$B$23,IF(AK15="bois granulés",'Référence&amp;tarifs'!$B$24,IF(AK15=I59,0.8*('Référence&amp;tarifs'!$B$23+'Référence&amp;tarifs'!B17)/2+0.2*Feuil1!AB15,0))))))</f>
        <v>0.15570000000000001</v>
      </c>
      <c r="AM15" s="228">
        <f>IF('Saisie immeuble'!I12+'Saisie immeuble'!J12&gt;0,Feuil1!$AM$13+2*('Saisie immeuble'!I12+'Saisie immeuble'!J12-1),0)</f>
        <v>15</v>
      </c>
      <c r="AN15" s="184">
        <f>IF('Saisie immeuble'!I12+'Saisie immeuble'!J12&gt;0,Feuil1!$AN$13*('Saisie immeuble'!I12+'Saisie immeuble'!J12),0)</f>
        <v>10</v>
      </c>
      <c r="AO15" s="184">
        <f>IF('Saisie immeuble'!I12+'Saisie immeuble'!J12&gt;0,Feuil1!$AO$13+3*('Saisie immeuble'!I12+'Saisie immeuble'!J12-1),0)</f>
        <v>10</v>
      </c>
      <c r="AP15" s="184">
        <f>IF('Saisie immeuble'!I12+'Saisie immeuble'!J12&gt;0,Feuil1!$AP$13+2*('Saisie immeuble'!I12+'Saisie immeuble'!J12-1),0)</f>
        <v>9</v>
      </c>
      <c r="AQ15" s="184">
        <f>IF('Saisie immeuble'!I12+'Saisie immeuble'!J12&gt;0,Feuil1!$AQ$13*('Saisie immeuble'!I12+'Saisie immeuble'!J12),0)</f>
        <v>14</v>
      </c>
      <c r="AR15" s="184">
        <f t="shared" si="8"/>
        <v>58</v>
      </c>
      <c r="AS15" s="224">
        <f>AR15*'Saisie immeuble'!$F$8+IF(AND(R15&lt;&gt;"gaz",(S15="gaz")),AA15,0)</f>
        <v>155.44</v>
      </c>
      <c r="AT15" s="228">
        <f>IF('Saisie immeuble'!I12+'Saisie immeuble'!J12&gt;0,1100+700*('Saisie immeuble'!I12+'Saisie immeuble'!J12-1),0)</f>
        <v>1800</v>
      </c>
      <c r="AU15" s="235">
        <f>IF(AW15="élec",Feuil1!V15,IF(AW15="gaz",Feuil1!AB15,IF(AW15="fioul",'Référence&amp;tarifs'!$B$25,IF(AW15="bois",('Référence&amp;tarifs'!$B$23+'Référence&amp;tarifs'!$B$24)/2,0))))</f>
        <v>0.15570000000000001</v>
      </c>
      <c r="AV15" s="184">
        <f>VLOOKUP('Saisie immeuble'!F12,Feuil1!$Q$57:$U$70,4,0)</f>
        <v>0.72</v>
      </c>
      <c r="AW15" s="184" t="str">
        <f>VLOOKUP('Saisie immeuble'!F12,Feuil1!$Q$57:$U$70,5,0)</f>
        <v>élec</v>
      </c>
      <c r="AX15" s="233">
        <f t="shared" si="12"/>
        <v>389.25</v>
      </c>
    </row>
    <row r="16" spans="2:65" x14ac:dyDescent="0.25">
      <c r="B16" s="228" t="s">
        <v>91</v>
      </c>
      <c r="C16" s="184">
        <f>IF('Saisie immeuble'!D13=Feuil1!$B$4,4,IF(AND('Saisie immeuble'!D13=$B$5,('Saisie immeuble'!$C$4=Feuil1!$C$5)),5,IF(AND('Saisie immeuble'!D13=$B$5,('Saisie immeuble'!$C$4=Feuil1!$C$6)),6,IF(AND('Saisie immeuble'!D13=Feuil1!$B$7,('Saisie immeuble'!$C$4=Feuil1!$C$7)),7,IF(AND('Saisie immeuble'!D13=Feuil1!$B$7,('Saisie immeuble'!$C$4=Feuil1!$C$8)),8,0)))))</f>
        <v>8</v>
      </c>
      <c r="D16" s="223">
        <f>HLOOKUP('Saisie immeuble'!$C$3,Feuil1!$D$1:$BM$8,Feuil1!C16,0)</f>
        <v>5048.0999999999995</v>
      </c>
      <c r="E16" s="184">
        <f>HLOOKUP('Saisie immeuble'!$C$3,Feuil1!$D$1:$BM$8,3,0)</f>
        <v>3</v>
      </c>
      <c r="F16" s="184">
        <f>IF(E16=1,450+'Saisie immeuble'!C13*6,IF(E16=2,300+'Saisie immeuble'!C13*5,150+'Saisie immeuble'!C13*3))</f>
        <v>247.05</v>
      </c>
      <c r="G16" s="184">
        <f>IF(E16=1,1400+'Saisie immeuble'!C13*6,IF(E16=2,1100+'Saisie immeuble'!C13*6,500+'Saisie immeuble'!C13*6))</f>
        <v>694.1</v>
      </c>
      <c r="H16" s="223">
        <f>IF('Saisie immeuble'!$C$6="oui",IF('Saisie immeuble'!D13="dernier étage",IF(Feuil1!E16=1,0.4*Feuil1!D16,IF(Feuil1!E16=2,0.35*Feuil1!D16,IF(Feuil1!E16=3,0.3*Feuil1!D16,0))),0),0)</f>
        <v>1514.4299999999998</v>
      </c>
      <c r="I16" s="223">
        <f>IF('Saisie immeuble'!$C$7="oui",IF(AND(Feuil1!E16=1,('Saisie immeuble'!$C$4=Feuil1!$C$5)),0.3*Feuil1!D16,IF(AND(Feuil1!E16=1,('Saisie immeuble'!$C$4=Feuil1!$C$6)),0.2*Feuil1!D16,IF(AND(Feuil1!E16=2,('Saisie immeuble'!$C$4=Feuil1!$C$5)),0.25*Feuil1!D16,IF(AND(Feuil1!E16=2,('Saisie immeuble'!$C$4=Feuil1!$C$6)),0.15*Feuil1!D16,IF(AND(Feuil1!E16=3,('Saisie immeuble'!$C$4=Feuil1!$C$5)),0.2*Feuil1!D16,IF(AND(Feuil1!E16=3,('Saisie immeuble'!$C$4=Feuil1!$C$6)),0.12*Feuil1!D16)))))),0)</f>
        <v>605.77199999999993</v>
      </c>
      <c r="J16" s="223">
        <f>IF('Saisie immeuble'!$C$8="oui",IF(AND(Feuil1!E16=1,('Saisie immeuble'!$C$4=Feuil1!$C$5)),0.22*Feuil1!D16,IF(AND(Feuil1!E16=1,('Saisie immeuble'!$C$4=Feuil1!$C$6)),0.14*Feuil1!D16,IF(AND(Feuil1!E16=2,('Saisie immeuble'!$C$4=Feuil1!$C$5)),0.2*Feuil1!D16,IF(AND(Feuil1!E16=2,('Saisie immeuble'!$C$4=Feuil1!$C$6)),0.12*Feuil1!D16,IF(AND(Feuil1!E16=3,('Saisie immeuble'!$C$4=Feuil1!$C$5)),0.16*Feuil1!D16,IF(AND(Feuil1!E16=3,('Saisie immeuble'!$C$4=Feuil1!$C$6)),0.1*Feuil1!D16)))))),0)</f>
        <v>504.80999999999995</v>
      </c>
      <c r="K16" s="223">
        <f>IF('Saisie immeuble'!$F$7="oui",IF('Saisie immeuble'!D13="rez de chaussée",IF(Feuil1!E16=1,0.2*Feuil1!D16,IF(Feuil1!E16=2,0.16*Feuil1!D16,IF(Feuil1!E16=3,0.12*Feuil1!D16,0))),0),0)</f>
        <v>0</v>
      </c>
      <c r="L16" s="184">
        <f>IF('Saisie immeuble'!C13&gt;0,IF('Saisie immeuble'!C13&gt;57,('Saisie immeuble'!C13-57)*55,('Saisie immeuble'!C13-57)*35),0)</f>
        <v>-862.75</v>
      </c>
      <c r="M16" s="184">
        <f>IF('Saisie immeuble'!C13&gt;0,IF('Saisie immeuble'!$H$7=Feuil1!$B$78,IF(Feuil1!E16=1,700,IF(Feuil1!E16=2,550,400)),IF('Saisie immeuble'!$H$7=Feuil1!$B$79,IF(Feuil1!E16=1,350,IF(Feuil1!E16=2,275,200)),0))*(1-((57-'Saisie immeuble'!C13)/100)),0)</f>
        <v>0</v>
      </c>
      <c r="N16" s="223">
        <f>D16-IF('Saisie immeuble'!G13=Feuil1!$B$68,Feuil1!F16,IF('Saisie immeuble'!G13=Feuil1!$B$69,G16,0))-H16-I16-J16+L16-K16+M16</f>
        <v>1560.3379999999997</v>
      </c>
      <c r="O16" s="223">
        <f t="shared" si="9"/>
        <v>1622.7515199999998</v>
      </c>
      <c r="P16" s="223">
        <f>IF('Saisie immeuble'!$C$5="individuel",N16/AJ16,O16/AJ16)</f>
        <v>1733.7088888888886</v>
      </c>
      <c r="Q16" s="224">
        <f t="shared" si="10"/>
        <v>269.93847399999999</v>
      </c>
      <c r="R16" s="225" t="str">
        <f>VLOOKUP('Saisie immeuble'!E13,Feuil1!$G$58:$I$75,3,0)</f>
        <v>élec</v>
      </c>
      <c r="S16" s="226" t="str">
        <f>VLOOKUP('Saisie immeuble'!F13,Feuil1!$Q$57:$U$70,5,0)</f>
        <v>élec</v>
      </c>
      <c r="T16" s="184">
        <f>IF(AND(R16&lt;&gt;"élec",(S16&lt;&gt;"élec"),('Saisie immeuble'!C13&lt;40)),'Référence&amp;tarifs'!$A$6,IF(AND(R16="élec",(S16="élec")),'Référence&amp;tarifs'!$A$8,'Référence&amp;tarifs'!$A$7))</f>
        <v>9</v>
      </c>
      <c r="U16" s="184">
        <f>VLOOKUP(T16,'Référence&amp;tarifs'!$A$6:$C$10,2,0)</f>
        <v>142.08000000000001</v>
      </c>
      <c r="V16" s="184">
        <f>VLOOKUP(T16,'Référence&amp;tarifs'!$A$6:$C$10,3,0)</f>
        <v>0.15570000000000001</v>
      </c>
      <c r="W16" s="184"/>
      <c r="X16" s="227" t="e">
        <f>IF('Résultat immeuble'!N7&lt;1.1,HLOOKUP(Feuil1!T16,'Référence&amp;tarifs'!#REF!,2,0),IF('Résultat immeuble'!N7&gt;1.9,HLOOKUP(Feuil1!T16,'Référence&amp;tarifs'!#REF!,4,0),HLOOKUP(Feuil1!T16,'Référence&amp;tarifs'!#REF!,3,0)))</f>
        <v>#REF!</v>
      </c>
      <c r="Y16" s="228">
        <f>IF(R16="gaz",N16,0)+IF(S16="gaz",AT16,0)+IF('Saisie immeuble'!H13="gaz de ville",Feuil1!AH16,0)</f>
        <v>0</v>
      </c>
      <c r="Z16" s="184" t="str">
        <f>IF(Y16&lt;1000,'Référence&amp;tarifs'!$A$16,IF(Y16&gt;5999,'Référence&amp;tarifs'!$A$18,'Référence&amp;tarifs'!$A$17))</f>
        <v>base</v>
      </c>
      <c r="AA16" s="184">
        <f>VLOOKUP(Z16,'Référence&amp;tarifs'!$A$16:$C$18,2,0)</f>
        <v>108</v>
      </c>
      <c r="AB16" s="184">
        <f>VLOOKUP(Z16,'Référence&amp;tarifs'!$A$16:$C$18,3,0)</f>
        <v>7.8899999999999998E-2</v>
      </c>
      <c r="AC16" s="229" t="e">
        <f>IF('Saisie immeuble'!$C$5="individuel",IF('Résultat immeuble'!N7=1,HLOOKUP(Feuil1!Z16,'Référence&amp;tarifs'!#REF!,2,0),IF('Résultat immeuble'!N7&gt;1.9,HLOOKUP(Feuil1!Z16,'Référence&amp;tarifs'!#REF!,4,0),HLOOKUP(Feuil1!Z16,'Référence&amp;tarifs'!#REF!,3,0))),IF('Saisie immeuble'!$C$5="collectif",IF('Résultat immeuble'!N7=1,'Référence&amp;tarifs'!#REF!,IF('Résultat immeuble'!N7&gt;1.9,'Référence&amp;tarifs'!#REF!,IF(AND('Résultat immeuble'!N7&lt;2,('Résultat immeuble'!N7&gt;1)),'Référence&amp;tarifs'!#REF!,0)))))</f>
        <v>#REF!</v>
      </c>
      <c r="AD16" s="230">
        <f>IF('Saisie immeuble'!I13+'Saisie immeuble'!J13&gt;0,18*'Saisie immeuble'!C13+3.5*('Saisie immeuble'!I13+'Saisie immeuble'!J13-1)*'Saisie immeuble'!C13,0)</f>
        <v>582.30000000000007</v>
      </c>
      <c r="AE16" s="231"/>
      <c r="AF16" s="232"/>
      <c r="AG16" s="233">
        <f t="shared" si="11"/>
        <v>232.74411000000003</v>
      </c>
      <c r="AH16" s="228">
        <f>IF('Saisie immeuble'!I13+'Saisie immeuble'!J13&gt;0,350+80*('Saisie immeuble'!I13+'Saisie immeuble'!J13-1),0)</f>
        <v>350</v>
      </c>
      <c r="AI16" s="233">
        <f>IF('Saisie immeuble'!H13="gaz de ville",Feuil1!AB16,IF('Saisie immeuble'!H13=$B$72,V16,0))*Feuil1!AH16+IF(AND(R16&lt;&gt;"gaz",(S16&lt;&gt;"gaz"),('Saisie immeuble'!H13="gaz de ville")),Feuil1!AA16,0)</f>
        <v>54.495000000000005</v>
      </c>
      <c r="AJ16" s="228">
        <f>VLOOKUP('Saisie immeuble'!E13,Feuil1!$G$58:$I$75,2,0)</f>
        <v>0.9</v>
      </c>
      <c r="AK16" s="184" t="str">
        <f>VLOOKUP('Saisie immeuble'!E13,Feuil1!$G$58:$I$75,3,0)</f>
        <v>élec</v>
      </c>
      <c r="AL16" s="234">
        <f>IF(AK16="élec",V16,IF(AK16="gaz",AB16,IF(AK16="fioul",'Référence&amp;tarifs'!$B$25,IF(AK16="bois buche",'Référence&amp;tarifs'!$B$23,IF(AK16="bois granulés",'Référence&amp;tarifs'!$B$24,IF(AK16=I60,0.8*('Référence&amp;tarifs'!$B$23+'Référence&amp;tarifs'!B18)/2+0.2*Feuil1!AB16,0))))))</f>
        <v>0.15570000000000001</v>
      </c>
      <c r="AM16" s="228">
        <f>IF('Saisie immeuble'!I13+'Saisie immeuble'!J13&gt;0,Feuil1!$AM$13+2*('Saisie immeuble'!I13+'Saisie immeuble'!J13-1),0)</f>
        <v>13</v>
      </c>
      <c r="AN16" s="184">
        <f>IF('Saisie immeuble'!I13+'Saisie immeuble'!J13&gt;0,Feuil1!$AN$13*('Saisie immeuble'!I13+'Saisie immeuble'!J13),0)</f>
        <v>5</v>
      </c>
      <c r="AO16" s="184">
        <f>IF('Saisie immeuble'!I13+'Saisie immeuble'!J13&gt;0,Feuil1!$AO$13+3*('Saisie immeuble'!I13+'Saisie immeuble'!J13-1),0)</f>
        <v>7</v>
      </c>
      <c r="AP16" s="184">
        <f>IF('Saisie immeuble'!I13+'Saisie immeuble'!J13&gt;0,Feuil1!$AP$13+2*('Saisie immeuble'!I13+'Saisie immeuble'!J13-1),0)</f>
        <v>7</v>
      </c>
      <c r="AQ16" s="184">
        <f>IF('Saisie immeuble'!I13+'Saisie immeuble'!J13&gt;0,Feuil1!$AQ$13*('Saisie immeuble'!I13+'Saisie immeuble'!J13),0)</f>
        <v>7</v>
      </c>
      <c r="AR16" s="184">
        <f t="shared" si="8"/>
        <v>39</v>
      </c>
      <c r="AS16" s="224">
        <f>AR16*'Saisie immeuble'!$F$8+IF(AND(R16&lt;&gt;"gaz",(S16="gaz")),AA16,0)</f>
        <v>104.52000000000001</v>
      </c>
      <c r="AT16" s="228">
        <f>IF('Saisie immeuble'!I13+'Saisie immeuble'!J13&gt;0,1100+700*('Saisie immeuble'!I13+'Saisie immeuble'!J13-1),0)</f>
        <v>1100</v>
      </c>
      <c r="AU16" s="235">
        <f>IF(AW16="élec",Feuil1!V16,IF(AW16="gaz",Feuil1!AB16,IF(AW16="fioul",'Référence&amp;tarifs'!$B$25,IF(AW16="bois",('Référence&amp;tarifs'!$B$23+'Référence&amp;tarifs'!$B$24)/2,0))))</f>
        <v>0.15570000000000001</v>
      </c>
      <c r="AV16" s="184">
        <f>VLOOKUP('Saisie immeuble'!F13,Feuil1!$Q$57:$U$70,4,0)</f>
        <v>0.72</v>
      </c>
      <c r="AW16" s="184" t="str">
        <f>VLOOKUP('Saisie immeuble'!F13,Feuil1!$Q$57:$U$70,5,0)</f>
        <v>élec</v>
      </c>
      <c r="AX16" s="233">
        <f t="shared" si="12"/>
        <v>237.87500000000003</v>
      </c>
    </row>
    <row r="17" spans="2:50" x14ac:dyDescent="0.25">
      <c r="B17" s="228" t="s">
        <v>92</v>
      </c>
      <c r="C17" s="184">
        <f>IF('Saisie immeuble'!D14=Feuil1!$B$4,4,IF(AND('Saisie immeuble'!D14=$B$5,('Saisie immeuble'!$C$4=Feuil1!$C$5)),5,IF(AND('Saisie immeuble'!D14=$B$5,('Saisie immeuble'!$C$4=Feuil1!$C$6)),6,IF(AND('Saisie immeuble'!D14=Feuil1!$B$7,('Saisie immeuble'!$C$4=Feuil1!$C$7)),7,IF(AND('Saisie immeuble'!D14=Feuil1!$B$7,('Saisie immeuble'!$C$4=Feuil1!$C$8)),8,0)))))</f>
        <v>8</v>
      </c>
      <c r="D17" s="223">
        <f>HLOOKUP('Saisie immeuble'!$C$3,Feuil1!$D$1:$BM$8,Feuil1!C17,0)</f>
        <v>5048.0999999999995</v>
      </c>
      <c r="E17" s="184">
        <f>HLOOKUP('Saisie immeuble'!$C$3,Feuil1!$D$1:$BM$8,3,0)</f>
        <v>3</v>
      </c>
      <c r="F17" s="184">
        <f>IF(E17=1,450+'Saisie immeuble'!C14*6,IF(E17=2,300+'Saisie immeuble'!C14*5,150+'Saisie immeuble'!C14*3))</f>
        <v>245.1</v>
      </c>
      <c r="G17" s="184">
        <f>IF(E17=1,1400+'Saisie immeuble'!C14*6,IF(E17=2,1100+'Saisie immeuble'!C14*6,500+'Saisie immeuble'!C14*6))</f>
        <v>690.2</v>
      </c>
      <c r="H17" s="223">
        <f>IF('Saisie immeuble'!$C$6="oui",IF('Saisie immeuble'!D14="dernier étage",IF(Feuil1!E17=1,0.4*Feuil1!D17,IF(Feuil1!E17=2,0.35*Feuil1!D17,IF(Feuil1!E17=3,0.3*Feuil1!D17,0))),0),0)</f>
        <v>1514.4299999999998</v>
      </c>
      <c r="I17" s="223">
        <f>IF('Saisie immeuble'!$C$7="oui",IF(AND(Feuil1!E17=1,('Saisie immeuble'!$C$4=Feuil1!$C$5)),0.3*Feuil1!D17,IF(AND(Feuil1!E17=1,('Saisie immeuble'!$C$4=Feuil1!$C$6)),0.2*Feuil1!D17,IF(AND(Feuil1!E17=2,('Saisie immeuble'!$C$4=Feuil1!$C$5)),0.25*Feuil1!D17,IF(AND(Feuil1!E17=2,('Saisie immeuble'!$C$4=Feuil1!$C$6)),0.15*Feuil1!D17,IF(AND(Feuil1!E17=3,('Saisie immeuble'!$C$4=Feuil1!$C$5)),0.2*Feuil1!D17,IF(AND(Feuil1!E17=3,('Saisie immeuble'!$C$4=Feuil1!$C$6)),0.12*Feuil1!D17)))))),0)</f>
        <v>605.77199999999993</v>
      </c>
      <c r="J17" s="223">
        <f>IF('Saisie immeuble'!$C$8="oui",IF(AND(Feuil1!E17=1,('Saisie immeuble'!$C$4=Feuil1!$C$5)),0.22*Feuil1!D17,IF(AND(Feuil1!E17=1,('Saisie immeuble'!$C$4=Feuil1!$C$6)),0.14*Feuil1!D17,IF(AND(Feuil1!E17=2,('Saisie immeuble'!$C$4=Feuil1!$C$5)),0.2*Feuil1!D17,IF(AND(Feuil1!E17=2,('Saisie immeuble'!$C$4=Feuil1!$C$6)),0.12*Feuil1!D17,IF(AND(Feuil1!E17=3,('Saisie immeuble'!$C$4=Feuil1!$C$5)),0.16*Feuil1!D17,IF(AND(Feuil1!E17=3,('Saisie immeuble'!$C$4=Feuil1!$C$6)),0.1*Feuil1!D17)))))),0)</f>
        <v>504.80999999999995</v>
      </c>
      <c r="K17" s="223">
        <f>IF('Saisie immeuble'!$F$7="oui",IF('Saisie immeuble'!D14="rez de chaussée",IF(Feuil1!E17=1,0.2*Feuil1!D17,IF(Feuil1!E17=2,0.16*Feuil1!D17,IF(Feuil1!E17=3,0.12*Feuil1!D17,0))),0),0)</f>
        <v>0</v>
      </c>
      <c r="L17" s="184">
        <f>IF('Saisie immeuble'!C14&gt;0,IF('Saisie immeuble'!C14&gt;57,('Saisie immeuble'!C14-57)*55,('Saisie immeuble'!C14-57)*35),0)</f>
        <v>-885.5</v>
      </c>
      <c r="M17" s="184">
        <f>IF('Saisie immeuble'!C14&gt;0,IF('Saisie immeuble'!$H$7=Feuil1!$B$78,IF(Feuil1!E17=1,700,IF(Feuil1!E17=2,550,400)),IF('Saisie immeuble'!$H$7=Feuil1!$B$79,IF(Feuil1!E17=1,350,IF(Feuil1!E17=2,275,200)),0))*(1-((57-'Saisie immeuble'!C14)/100)),0)</f>
        <v>0</v>
      </c>
      <c r="N17" s="223">
        <f>D17-IF('Saisie immeuble'!G14=Feuil1!$B$68,Feuil1!F17,IF('Saisie immeuble'!G14=Feuil1!$B$69,G17,0))-H17-I17-J17+L17-K17+M17</f>
        <v>1537.5879999999997</v>
      </c>
      <c r="O17" s="223">
        <f t="shared" si="9"/>
        <v>1599.0915199999997</v>
      </c>
      <c r="P17" s="223">
        <f>IF('Saisie immeuble'!$C$5="individuel",N17/AJ17,O17/AJ17)</f>
        <v>1708.4311111111108</v>
      </c>
      <c r="Q17" s="224">
        <f t="shared" si="10"/>
        <v>266.00272399999994</v>
      </c>
      <c r="R17" s="225" t="str">
        <f>VLOOKUP('Saisie immeuble'!E14,Feuil1!$G$58:$I$75,3,0)</f>
        <v>élec</v>
      </c>
      <c r="S17" s="188" t="str">
        <f>VLOOKUP('Saisie immeuble'!F14,Feuil1!$Q$57:$U$70,5,0)</f>
        <v>élec</v>
      </c>
      <c r="T17" s="184">
        <f>IF(AND(R17&lt;&gt;"élec",(S17&lt;&gt;"élec"),('Saisie immeuble'!C14&lt;40)),'Référence&amp;tarifs'!$A$6,IF(AND(R17="élec",(S17="élec")),'Référence&amp;tarifs'!$A$8,'Référence&amp;tarifs'!$A$7))</f>
        <v>9</v>
      </c>
      <c r="U17" s="184">
        <f>VLOOKUP(T17,'Référence&amp;tarifs'!$A$6:$C$10,2,0)</f>
        <v>142.08000000000001</v>
      </c>
      <c r="V17" s="184">
        <f>VLOOKUP(T17,'Référence&amp;tarifs'!$A$6:$C$10,3,0)</f>
        <v>0.15570000000000001</v>
      </c>
      <c r="W17" s="184"/>
      <c r="X17" s="236" t="e">
        <f>IF('Résultat immeuble'!N8&lt;1.1,HLOOKUP(Feuil1!T17,'Référence&amp;tarifs'!#REF!,2,0),IF('Résultat immeuble'!N8&gt;1.9,HLOOKUP(Feuil1!T17,'Référence&amp;tarifs'!#REF!,4,0),HLOOKUP(Feuil1!T17,'Référence&amp;tarifs'!#REF!,3,0)))</f>
        <v>#REF!</v>
      </c>
      <c r="Y17" s="228">
        <f>IF(R17="gaz",N17,0)+IF(S17="gaz",AT17,0)+IF('Saisie immeuble'!H14="gaz de ville",Feuil1!AH17,0)</f>
        <v>0</v>
      </c>
      <c r="Z17" s="184" t="str">
        <f>IF(Y17&lt;1000,'Référence&amp;tarifs'!$A$16,IF(Y17&gt;5999,'Référence&amp;tarifs'!$A$18,'Référence&amp;tarifs'!$A$17))</f>
        <v>base</v>
      </c>
      <c r="AA17" s="184">
        <f>VLOOKUP(Z17,'Référence&amp;tarifs'!$A$16:$C$18,2,0)</f>
        <v>108</v>
      </c>
      <c r="AB17" s="184">
        <f>VLOOKUP(Z17,'Référence&amp;tarifs'!$A$16:$C$18,3,0)</f>
        <v>7.8899999999999998E-2</v>
      </c>
      <c r="AC17" s="229" t="e">
        <f>IF('Saisie immeuble'!$C$5="individuel",IF('Résultat immeuble'!N8=1,HLOOKUP(Feuil1!Z17,'Référence&amp;tarifs'!#REF!,2,0),IF('Résultat immeuble'!N8&gt;1.9,HLOOKUP(Feuil1!Z17,'Référence&amp;tarifs'!#REF!,4,0),HLOOKUP(Feuil1!Z17,'Référence&amp;tarifs'!#REF!,3,0))),IF('Saisie immeuble'!$C$5="collectif",IF('Résultat immeuble'!N8=1,'Référence&amp;tarifs'!#REF!,IF('Résultat immeuble'!N8&gt;1.9,'Référence&amp;tarifs'!#REF!,IF(AND('Résultat immeuble'!N8&lt;2,('Résultat immeuble'!N8&gt;1)),'Référence&amp;tarifs'!#REF!,0)))))</f>
        <v>#REF!</v>
      </c>
      <c r="AD17" s="230">
        <f>IF('Saisie immeuble'!I14+'Saisie immeuble'!J14&gt;0,18*'Saisie immeuble'!C14+3.5*('Saisie immeuble'!I14+'Saisie immeuble'!J14-1)*'Saisie immeuble'!C14,0)</f>
        <v>570.6</v>
      </c>
      <c r="AE17" s="231"/>
      <c r="AF17" s="232"/>
      <c r="AG17" s="233">
        <f t="shared" si="11"/>
        <v>230.92242000000002</v>
      </c>
      <c r="AH17" s="228">
        <f>IF('Saisie immeuble'!I14+'Saisie immeuble'!J14&gt;0,350+80*('Saisie immeuble'!I14+'Saisie immeuble'!J14-1),0)</f>
        <v>350</v>
      </c>
      <c r="AI17" s="233">
        <f>IF('Saisie immeuble'!H14="gaz de ville",Feuil1!AB17,IF('Saisie immeuble'!H14=$B$72,V17,0))*Feuil1!AH17+IF(AND(R17&lt;&gt;"gaz",(S17&lt;&gt;"gaz"),('Saisie immeuble'!H14="gaz de ville")),Feuil1!AA17,0)</f>
        <v>54.495000000000005</v>
      </c>
      <c r="AJ17" s="228">
        <f>VLOOKUP('Saisie immeuble'!E14,Feuil1!$G$58:$I$75,2,0)</f>
        <v>0.9</v>
      </c>
      <c r="AK17" s="184" t="str">
        <f>VLOOKUP('Saisie immeuble'!E14,Feuil1!$G$58:$I$75,3,0)</f>
        <v>élec</v>
      </c>
      <c r="AL17" s="234">
        <f>IF(AK17="élec",V17,IF(AK17="gaz",AB17,IF(AK17="fioul",'Référence&amp;tarifs'!$B$25,IF(AK17="bois buche",'Référence&amp;tarifs'!$B$23,IF(AK17="bois granulés",'Référence&amp;tarifs'!$B$24,IF(AK17=I61,0.8*('Référence&amp;tarifs'!$B$23+'Référence&amp;tarifs'!B19)/2+0.2*Feuil1!AB17,0))))))</f>
        <v>0.15570000000000001</v>
      </c>
      <c r="AM17" s="228">
        <f>IF('Saisie immeuble'!I14+'Saisie immeuble'!J14&gt;0,Feuil1!$AM$13+2*('Saisie immeuble'!I14+'Saisie immeuble'!J14-1),0)</f>
        <v>13</v>
      </c>
      <c r="AN17" s="184">
        <f>IF('Saisie immeuble'!I14+'Saisie immeuble'!J14&gt;0,Feuil1!$AN$13*('Saisie immeuble'!I14+'Saisie immeuble'!J14),0)</f>
        <v>5</v>
      </c>
      <c r="AO17" s="184">
        <f>IF('Saisie immeuble'!I14+'Saisie immeuble'!J14&gt;0,Feuil1!$AO$13+3*('Saisie immeuble'!I14+'Saisie immeuble'!J14-1),0)</f>
        <v>7</v>
      </c>
      <c r="AP17" s="184">
        <f>IF('Saisie immeuble'!I14+'Saisie immeuble'!J14&gt;0,Feuil1!$AP$13+2*('Saisie immeuble'!I14+'Saisie immeuble'!J14-1),0)</f>
        <v>7</v>
      </c>
      <c r="AQ17" s="184">
        <f>IF('Saisie immeuble'!I14+'Saisie immeuble'!J14&gt;0,Feuil1!$AQ$13*('Saisie immeuble'!I14+'Saisie immeuble'!J14),0)</f>
        <v>7</v>
      </c>
      <c r="AR17" s="184">
        <f t="shared" si="8"/>
        <v>39</v>
      </c>
      <c r="AS17" s="224">
        <f>AR17*'Saisie immeuble'!$F$8+IF(AND(R17&lt;&gt;"gaz",(S17="gaz")),AA17,0)</f>
        <v>104.52000000000001</v>
      </c>
      <c r="AT17" s="228">
        <f>IF('Saisie immeuble'!I14+'Saisie immeuble'!J14&gt;0,1100+700*('Saisie immeuble'!I14+'Saisie immeuble'!J14-1),0)</f>
        <v>1100</v>
      </c>
      <c r="AU17" s="235">
        <f>IF(AW17="élec",Feuil1!V17,IF(AW17="gaz",Feuil1!AB17,IF(AW17="fioul",'Référence&amp;tarifs'!$B$25,IF(AW17="bois",('Référence&amp;tarifs'!$B$23+'Référence&amp;tarifs'!$B$24)/2,0))))</f>
        <v>0.15570000000000001</v>
      </c>
      <c r="AV17" s="184">
        <f>VLOOKUP('Saisie immeuble'!F14,Feuil1!$Q$57:$U$70,4,0)</f>
        <v>0.72</v>
      </c>
      <c r="AW17" s="184" t="str">
        <f>VLOOKUP('Saisie immeuble'!F14,Feuil1!$Q$57:$U$70,5,0)</f>
        <v>élec</v>
      </c>
      <c r="AX17" s="233">
        <f t="shared" si="12"/>
        <v>237.87500000000003</v>
      </c>
    </row>
    <row r="18" spans="2:50" x14ac:dyDescent="0.25">
      <c r="B18" s="228" t="s">
        <v>93</v>
      </c>
      <c r="C18" s="184">
        <f>IF('Saisie immeuble'!D15=Feuil1!$B$4,4,IF(AND('Saisie immeuble'!D15=$B$5,('Saisie immeuble'!$C$4=Feuil1!$C$5)),5,IF(AND('Saisie immeuble'!D15=$B$5,('Saisie immeuble'!$C$4=Feuil1!$C$6)),6,IF(AND('Saisie immeuble'!D15=Feuil1!$B$7,('Saisie immeuble'!$C$4=Feuil1!$C$7)),7,IF(AND('Saisie immeuble'!D15=Feuil1!$B$7,('Saisie immeuble'!$C$4=Feuil1!$C$8)),8,0)))))</f>
        <v>8</v>
      </c>
      <c r="D18" s="223">
        <f>HLOOKUP('Saisie immeuble'!$C$3,Feuil1!$D$1:$BM$8,Feuil1!C18,0)</f>
        <v>5048.0999999999995</v>
      </c>
      <c r="E18" s="184">
        <f>HLOOKUP('Saisie immeuble'!$C$3,Feuil1!$D$1:$BM$8,3,0)</f>
        <v>3</v>
      </c>
      <c r="F18" s="184">
        <f>IF(E18=1,450+'Saisie immeuble'!C15*6,IF(E18=2,300+'Saisie immeuble'!C15*5,150+'Saisie immeuble'!C15*3))</f>
        <v>328.47</v>
      </c>
      <c r="G18" s="184">
        <f>IF(E18=1,1400+'Saisie immeuble'!C15*6,IF(E18=2,1100+'Saisie immeuble'!C15*6,500+'Saisie immeuble'!C15*6))</f>
        <v>856.94</v>
      </c>
      <c r="H18" s="223">
        <f>IF('Saisie immeuble'!$C$6="oui",IF('Saisie immeuble'!D15="dernier étage",IF(Feuil1!E18=1,0.4*Feuil1!D18,IF(Feuil1!E18=2,0.35*Feuil1!D18,IF(Feuil1!E18=3,0.3*Feuil1!D18,0))),0),0)</f>
        <v>1514.4299999999998</v>
      </c>
      <c r="I18" s="223">
        <f>IF('Saisie immeuble'!$C$7="oui",IF(AND(Feuil1!E18=1,('Saisie immeuble'!$C$4=Feuil1!$C$5)),0.3*Feuil1!D18,IF(AND(Feuil1!E18=1,('Saisie immeuble'!$C$4=Feuil1!$C$6)),0.2*Feuil1!D18,IF(AND(Feuil1!E18=2,('Saisie immeuble'!$C$4=Feuil1!$C$5)),0.25*Feuil1!D18,IF(AND(Feuil1!E18=2,('Saisie immeuble'!$C$4=Feuil1!$C$6)),0.15*Feuil1!D18,IF(AND(Feuil1!E18=3,('Saisie immeuble'!$C$4=Feuil1!$C$5)),0.2*Feuil1!D18,IF(AND(Feuil1!E18=3,('Saisie immeuble'!$C$4=Feuil1!$C$6)),0.12*Feuil1!D18)))))),0)</f>
        <v>605.77199999999993</v>
      </c>
      <c r="J18" s="223">
        <f>IF('Saisie immeuble'!$C$8="oui",IF(AND(Feuil1!E18=1,('Saisie immeuble'!$C$4=Feuil1!$C$5)),0.22*Feuil1!D18,IF(AND(Feuil1!E18=1,('Saisie immeuble'!$C$4=Feuil1!$C$6)),0.14*Feuil1!D18,IF(AND(Feuil1!E18=2,('Saisie immeuble'!$C$4=Feuil1!$C$5)),0.2*Feuil1!D18,IF(AND(Feuil1!E18=2,('Saisie immeuble'!$C$4=Feuil1!$C$6)),0.12*Feuil1!D18,IF(AND(Feuil1!E18=3,('Saisie immeuble'!$C$4=Feuil1!$C$5)),0.16*Feuil1!D18,IF(AND(Feuil1!E18=3,('Saisie immeuble'!$C$4=Feuil1!$C$6)),0.1*Feuil1!D18)))))),0)</f>
        <v>504.80999999999995</v>
      </c>
      <c r="K18" s="223">
        <f>IF('Saisie immeuble'!$F$7="oui",IF('Saisie immeuble'!D15="rez de chaussée",IF(Feuil1!E18=1,0.2*Feuil1!D18,IF(Feuil1!E18=2,0.16*Feuil1!D18,IF(Feuil1!E18=3,0.12*Feuil1!D18,0))),0),0)</f>
        <v>0</v>
      </c>
      <c r="L18" s="184">
        <f>IF('Saisie immeuble'!C15&gt;0,IF('Saisie immeuble'!C15&gt;57,('Saisie immeuble'!C15-57)*55,('Saisie immeuble'!C15-57)*35),0)</f>
        <v>136.9500000000001</v>
      </c>
      <c r="M18" s="184">
        <f>IF('Saisie immeuble'!C15&gt;0,IF('Saisie immeuble'!$H$7=Feuil1!$B$78,IF(Feuil1!E18=1,700,IF(Feuil1!E18=2,550,400)),IF('Saisie immeuble'!$H$7=Feuil1!$B$79,IF(Feuil1!E18=1,350,IF(Feuil1!E18=2,275,200)),0))*(1-((57-'Saisie immeuble'!C15)/100)),0)</f>
        <v>0</v>
      </c>
      <c r="N18" s="223">
        <f>D18-IF('Saisie immeuble'!G15=Feuil1!$B$68,Feuil1!F18,IF('Saisie immeuble'!G15=Feuil1!$B$69,G18,0))-H18-I18-J18+L18-K18+M18</f>
        <v>2560.038</v>
      </c>
      <c r="O18" s="223">
        <f t="shared" si="9"/>
        <v>2662.4395199999999</v>
      </c>
      <c r="P18" s="223">
        <f>IF('Saisie immeuble'!$C$5="individuel",N18/AJ18,O18/AJ18)</f>
        <v>2844.4866666666667</v>
      </c>
      <c r="Q18" s="224">
        <f t="shared" si="10"/>
        <v>442.886574</v>
      </c>
      <c r="R18" s="225" t="str">
        <f>VLOOKUP('Saisie immeuble'!E15,Feuil1!$G$58:$I$75,3,0)</f>
        <v>élec</v>
      </c>
      <c r="S18" s="188" t="str">
        <f>VLOOKUP('Saisie immeuble'!F15,Feuil1!$Q$57:$U$70,5,0)</f>
        <v>élec</v>
      </c>
      <c r="T18" s="184">
        <f>IF(AND(R18&lt;&gt;"élec",(S18&lt;&gt;"élec"),('Saisie immeuble'!C15&lt;40)),'Référence&amp;tarifs'!$A$6,IF(AND(R18="élec",(S18="élec")),'Référence&amp;tarifs'!$A$8,'Référence&amp;tarifs'!$A$7))</f>
        <v>9</v>
      </c>
      <c r="U18" s="184">
        <f>VLOOKUP(T18,'Référence&amp;tarifs'!$A$6:$C$10,2,0)</f>
        <v>142.08000000000001</v>
      </c>
      <c r="V18" s="184">
        <f>VLOOKUP(T18,'Référence&amp;tarifs'!$A$6:$C$10,3,0)</f>
        <v>0.15570000000000001</v>
      </c>
      <c r="W18" s="184"/>
      <c r="X18" s="236" t="e">
        <f>IF('Résultat immeuble'!N9&lt;1.1,HLOOKUP(Feuil1!T18,'Référence&amp;tarifs'!#REF!,2,0),IF('Résultat immeuble'!N9&gt;1.9,HLOOKUP(Feuil1!T18,'Référence&amp;tarifs'!#REF!,4,0),HLOOKUP(Feuil1!T18,'Référence&amp;tarifs'!#REF!,3,0)))</f>
        <v>#REF!</v>
      </c>
      <c r="Y18" s="228">
        <f>IF(R18="gaz",N18,0)+IF(S18="gaz",AT18,0)+IF('Saisie immeuble'!H15="gaz de ville",Feuil1!AH18,0)</f>
        <v>0</v>
      </c>
      <c r="Z18" s="184" t="str">
        <f>IF(Y18&lt;1000,'Référence&amp;tarifs'!$A$16,IF(Y18&gt;5999,'Référence&amp;tarifs'!$A$18,'Référence&amp;tarifs'!$A$17))</f>
        <v>base</v>
      </c>
      <c r="AA18" s="184">
        <f>VLOOKUP(Z18,'Référence&amp;tarifs'!$A$16:$C$18,2,0)</f>
        <v>108</v>
      </c>
      <c r="AB18" s="184">
        <f>VLOOKUP(Z18,'Référence&amp;tarifs'!$A$16:$C$18,3,0)</f>
        <v>7.8899999999999998E-2</v>
      </c>
      <c r="AC18" s="229" t="e">
        <f>IF('Saisie immeuble'!$C$5="individuel",IF('Résultat immeuble'!N9=1,HLOOKUP(Feuil1!Z18,'Référence&amp;tarifs'!#REF!,2,0),IF('Résultat immeuble'!N9&gt;1.9,HLOOKUP(Feuil1!Z18,'Référence&amp;tarifs'!#REF!,4,0),HLOOKUP(Feuil1!Z18,'Référence&amp;tarifs'!#REF!,3,0))),IF('Saisie immeuble'!$C$5="collectif",IF('Résultat immeuble'!N9=1,'Référence&amp;tarifs'!#REF!,IF('Résultat immeuble'!N9&gt;1.9,'Référence&amp;tarifs'!#REF!,IF(AND('Résultat immeuble'!N9&lt;2,('Résultat immeuble'!N9&gt;1)),'Référence&amp;tarifs'!#REF!,0)))))</f>
        <v>#REF!</v>
      </c>
      <c r="AD18" s="230">
        <f>IF('Saisie immeuble'!I15+'Saisie immeuble'!J15&gt;0,18*'Saisie immeuble'!C15+3.5*('Saisie immeuble'!I15+'Saisie immeuble'!J15-1)*'Saisie immeuble'!C15,0)</f>
        <v>1070.82</v>
      </c>
      <c r="AE18" s="231"/>
      <c r="AF18" s="232"/>
      <c r="AG18" s="233">
        <f t="shared" si="11"/>
        <v>308.80667400000004</v>
      </c>
      <c r="AH18" s="228">
        <f>IF('Saisie immeuble'!I15+'Saisie immeuble'!J15&gt;0,350+80*('Saisie immeuble'!I15+'Saisie immeuble'!J15-1),0)</f>
        <v>350</v>
      </c>
      <c r="AI18" s="233">
        <f>IF('Saisie immeuble'!H15="gaz de ville",Feuil1!AB18,IF('Saisie immeuble'!H15=$B$72,V18,0))*Feuil1!AH18+IF(AND(R18&lt;&gt;"gaz",(S18&lt;&gt;"gaz"),('Saisie immeuble'!H15="gaz de ville")),Feuil1!AA18,0)</f>
        <v>54.495000000000005</v>
      </c>
      <c r="AJ18" s="228">
        <f>VLOOKUP('Saisie immeuble'!E15,Feuil1!$G$58:$I$75,2,0)</f>
        <v>0.9</v>
      </c>
      <c r="AK18" s="184" t="str">
        <f>VLOOKUP('Saisie immeuble'!E15,Feuil1!$G$58:$I$75,3,0)</f>
        <v>élec</v>
      </c>
      <c r="AL18" s="234">
        <f>IF(AK18="élec",V18,IF(AK18="gaz",AB18,IF(AK18="fioul",'Référence&amp;tarifs'!$B$25,IF(AK18="bois buche",'Référence&amp;tarifs'!$B$23,IF(AK18="bois granulés",'Référence&amp;tarifs'!$B$24,IF(AK18=I62,0.8*('Référence&amp;tarifs'!$B$23+'Référence&amp;tarifs'!B20)/2+0.2*Feuil1!AB18,0))))))</f>
        <v>0.15570000000000001</v>
      </c>
      <c r="AM18" s="228">
        <f>IF('Saisie immeuble'!I15+'Saisie immeuble'!J15&gt;0,Feuil1!$AM$13+2*('Saisie immeuble'!I15+'Saisie immeuble'!J15-1),0)</f>
        <v>13</v>
      </c>
      <c r="AN18" s="184">
        <f>IF('Saisie immeuble'!I15+'Saisie immeuble'!J15&gt;0,Feuil1!$AN$13*('Saisie immeuble'!I15+'Saisie immeuble'!J15),0)</f>
        <v>5</v>
      </c>
      <c r="AO18" s="184">
        <f>IF('Saisie immeuble'!I15+'Saisie immeuble'!J15&gt;0,Feuil1!$AO$13+3*('Saisie immeuble'!I15+'Saisie immeuble'!J15-1),0)</f>
        <v>7</v>
      </c>
      <c r="AP18" s="184">
        <f>IF('Saisie immeuble'!I15+'Saisie immeuble'!J15&gt;0,Feuil1!$AP$13+2*('Saisie immeuble'!I15+'Saisie immeuble'!J15-1),0)</f>
        <v>7</v>
      </c>
      <c r="AQ18" s="184">
        <f>IF('Saisie immeuble'!I15+'Saisie immeuble'!J15&gt;0,Feuil1!$AQ$13*('Saisie immeuble'!I15+'Saisie immeuble'!J15),0)</f>
        <v>7</v>
      </c>
      <c r="AR18" s="184">
        <f t="shared" si="8"/>
        <v>39</v>
      </c>
      <c r="AS18" s="224">
        <f>AR18*'Saisie immeuble'!$F$8+IF(AND(R18&lt;&gt;"gaz",(S18="gaz")),AA18,0)</f>
        <v>104.52000000000001</v>
      </c>
      <c r="AT18" s="228">
        <f>IF('Saisie immeuble'!I15+'Saisie immeuble'!J15&gt;0,1100+700*('Saisie immeuble'!I15+'Saisie immeuble'!J15-1),0)</f>
        <v>1100</v>
      </c>
      <c r="AU18" s="235">
        <f>IF(AW18="élec",Feuil1!V18,IF(AW18="gaz",Feuil1!AB18,IF(AW18="fioul",'Référence&amp;tarifs'!$B$25,IF(AW18="bois",('Référence&amp;tarifs'!$B$23+'Référence&amp;tarifs'!$B$24)/2,0))))</f>
        <v>0.15570000000000001</v>
      </c>
      <c r="AV18" s="184">
        <f>VLOOKUP('Saisie immeuble'!F15,Feuil1!$Q$57:$U$70,4,0)</f>
        <v>0.72</v>
      </c>
      <c r="AW18" s="184" t="str">
        <f>VLOOKUP('Saisie immeuble'!F15,Feuil1!$Q$57:$U$70,5,0)</f>
        <v>élec</v>
      </c>
      <c r="AX18" s="233">
        <f t="shared" si="12"/>
        <v>237.87500000000003</v>
      </c>
    </row>
    <row r="19" spans="2:50" x14ac:dyDescent="0.25">
      <c r="B19" s="228" t="s">
        <v>94</v>
      </c>
      <c r="C19" s="184">
        <f>IF('Saisie immeuble'!D16=Feuil1!$B$4,4,IF(AND('Saisie immeuble'!D16=$B$5,('Saisie immeuble'!$C$4=Feuil1!$C$5)),5,IF(AND('Saisie immeuble'!D16=$B$5,('Saisie immeuble'!$C$4=Feuil1!$C$6)),6,IF(AND('Saisie immeuble'!D16=Feuil1!$B$7,('Saisie immeuble'!$C$4=Feuil1!$C$7)),7,IF(AND('Saisie immeuble'!D16=Feuil1!$B$7,('Saisie immeuble'!$C$4=Feuil1!$C$8)),8,0)))))</f>
        <v>8</v>
      </c>
      <c r="D19" s="223">
        <f>HLOOKUP('Saisie immeuble'!$C$3,Feuil1!$D$1:$BM$8,Feuil1!C19,0)</f>
        <v>5048.0999999999995</v>
      </c>
      <c r="E19" s="184">
        <f>HLOOKUP('Saisie immeuble'!$C$3,Feuil1!$D$1:$BM$8,3,0)</f>
        <v>3</v>
      </c>
      <c r="F19" s="184">
        <f>IF(E19=1,450+'Saisie immeuble'!C16*6,IF(E19=2,300+'Saisie immeuble'!C16*5,150+'Saisie immeuble'!C16*3))</f>
        <v>363</v>
      </c>
      <c r="G19" s="184">
        <f>IF(E19=1,1400+'Saisie immeuble'!C16*6,IF(E19=2,1100+'Saisie immeuble'!C16*6,500+'Saisie immeuble'!C16*6))</f>
        <v>926</v>
      </c>
      <c r="H19" s="223">
        <f>IF('Saisie immeuble'!$C$6="oui",IF('Saisie immeuble'!D16="dernier étage",IF(Feuil1!E19=1,0.4*Feuil1!D19,IF(Feuil1!E19=2,0.35*Feuil1!D19,IF(Feuil1!E19=3,0.3*Feuil1!D19,0))),0),0)</f>
        <v>1514.4299999999998</v>
      </c>
      <c r="I19" s="223">
        <f>IF('Saisie immeuble'!$C$7="oui",IF(AND(Feuil1!E19=1,('Saisie immeuble'!$C$4=Feuil1!$C$5)),0.3*Feuil1!D19,IF(AND(Feuil1!E19=1,('Saisie immeuble'!$C$4=Feuil1!$C$6)),0.2*Feuil1!D19,IF(AND(Feuil1!E19=2,('Saisie immeuble'!$C$4=Feuil1!$C$5)),0.25*Feuil1!D19,IF(AND(Feuil1!E19=2,('Saisie immeuble'!$C$4=Feuil1!$C$6)),0.15*Feuil1!D19,IF(AND(Feuil1!E19=3,('Saisie immeuble'!$C$4=Feuil1!$C$5)),0.2*Feuil1!D19,IF(AND(Feuil1!E19=3,('Saisie immeuble'!$C$4=Feuil1!$C$6)),0.12*Feuil1!D19)))))),0)</f>
        <v>605.77199999999993</v>
      </c>
      <c r="J19" s="223">
        <f>IF('Saisie immeuble'!$C$8="oui",IF(AND(Feuil1!E19=1,('Saisie immeuble'!$C$4=Feuil1!$C$5)),0.22*Feuil1!D19,IF(AND(Feuil1!E19=1,('Saisie immeuble'!$C$4=Feuil1!$C$6)),0.14*Feuil1!D19,IF(AND(Feuil1!E19=2,('Saisie immeuble'!$C$4=Feuil1!$C$5)),0.2*Feuil1!D19,IF(AND(Feuil1!E19=2,('Saisie immeuble'!$C$4=Feuil1!$C$6)),0.12*Feuil1!D19,IF(AND(Feuil1!E19=3,('Saisie immeuble'!$C$4=Feuil1!$C$5)),0.16*Feuil1!D19,IF(AND(Feuil1!E19=3,('Saisie immeuble'!$C$4=Feuil1!$C$6)),0.1*Feuil1!D19)))))),0)</f>
        <v>504.80999999999995</v>
      </c>
      <c r="K19" s="223">
        <f>IF('Saisie immeuble'!$F$7="oui",IF('Saisie immeuble'!D16="rez de chaussée",IF(Feuil1!E19=1,0.2*Feuil1!D19,IF(Feuil1!E19=2,0.16*Feuil1!D19,IF(Feuil1!E19=3,0.12*Feuil1!D19,0))),0),0)</f>
        <v>0</v>
      </c>
      <c r="L19" s="184">
        <f>IF('Saisie immeuble'!C16&gt;0,IF('Saisie immeuble'!C16&gt;57,('Saisie immeuble'!C16-57)*55,('Saisie immeuble'!C16-57)*35),0)</f>
        <v>770</v>
      </c>
      <c r="M19" s="184">
        <f>IF('Saisie immeuble'!C16&gt;0,IF('Saisie immeuble'!$H$7=Feuil1!$B$78,IF(Feuil1!E19=1,700,IF(Feuil1!E19=2,550,400)),IF('Saisie immeuble'!$H$7=Feuil1!$B$79,IF(Feuil1!E19=1,350,IF(Feuil1!E19=2,275,200)),0))*(1-((57-'Saisie immeuble'!C16)/100)),0)</f>
        <v>0</v>
      </c>
      <c r="N19" s="223">
        <f>D19-IF('Saisie immeuble'!G16=Feuil1!$B$68,Feuil1!F19,IF('Saisie immeuble'!G16=Feuil1!$B$69,G19,0))-H19-I19-J19+L19-K19+M19</f>
        <v>3193.0879999999997</v>
      </c>
      <c r="O19" s="223">
        <f t="shared" si="9"/>
        <v>3320.8115199999997</v>
      </c>
      <c r="P19" s="223">
        <f>IF('Saisie immeuble'!$C$5="individuel",N19/AJ19,O19/AJ19)</f>
        <v>3547.8755555555554</v>
      </c>
      <c r="Q19" s="224">
        <f t="shared" si="10"/>
        <v>552.404224</v>
      </c>
      <c r="R19" s="225" t="str">
        <f>VLOOKUP('Saisie immeuble'!E16,Feuil1!$G$58:$I$75,3,0)</f>
        <v>élec</v>
      </c>
      <c r="S19" s="188" t="str">
        <f>VLOOKUP('Saisie immeuble'!F16,Feuil1!$Q$57:$U$70,5,0)</f>
        <v>élec</v>
      </c>
      <c r="T19" s="184">
        <f>IF(AND(R19&lt;&gt;"élec",(S19&lt;&gt;"élec"),('Saisie immeuble'!C16&lt;40)),'Référence&amp;tarifs'!$A$6,IF(AND(R19="élec",(S19="élec")),'Référence&amp;tarifs'!$A$8,'Référence&amp;tarifs'!$A$7))</f>
        <v>9</v>
      </c>
      <c r="U19" s="184">
        <f>VLOOKUP(T19,'Référence&amp;tarifs'!$A$6:$C$10,2,0)</f>
        <v>142.08000000000001</v>
      </c>
      <c r="V19" s="184">
        <f>VLOOKUP(T19,'Référence&amp;tarifs'!$A$6:$C$10,3,0)</f>
        <v>0.15570000000000001</v>
      </c>
      <c r="W19" s="184"/>
      <c r="X19" s="236" t="e">
        <f>IF('Résultat immeuble'!N10&lt;1.1,HLOOKUP(Feuil1!T19,'Référence&amp;tarifs'!#REF!,2,0),IF('Résultat immeuble'!N10&gt;1.9,HLOOKUP(Feuil1!T19,'Référence&amp;tarifs'!#REF!,4,0),HLOOKUP(Feuil1!T19,'Référence&amp;tarifs'!#REF!,3,0)))</f>
        <v>#REF!</v>
      </c>
      <c r="Y19" s="228">
        <f>IF(R19="gaz",N19,0)+IF(S19="gaz",AT19,0)+IF('Saisie immeuble'!H16="gaz de ville",Feuil1!AH19,0)</f>
        <v>0</v>
      </c>
      <c r="Z19" s="184" t="str">
        <f>IF(Y19&lt;1000,'Référence&amp;tarifs'!$A$16,IF(Y19&gt;5999,'Référence&amp;tarifs'!$A$18,'Référence&amp;tarifs'!$A$17))</f>
        <v>base</v>
      </c>
      <c r="AA19" s="184">
        <f>VLOOKUP(Z19,'Référence&amp;tarifs'!$A$16:$C$18,2,0)</f>
        <v>108</v>
      </c>
      <c r="AB19" s="184">
        <f>VLOOKUP(Z19,'Référence&amp;tarifs'!$A$16:$C$18,3,0)</f>
        <v>7.8899999999999998E-2</v>
      </c>
      <c r="AC19" s="229" t="e">
        <f>IF('Saisie immeuble'!$C$5="individuel",IF('Résultat immeuble'!N10=1,HLOOKUP(Feuil1!Z19,'Référence&amp;tarifs'!#REF!,2,0),IF('Résultat immeuble'!N10&gt;1.9,HLOOKUP(Feuil1!Z19,'Référence&amp;tarifs'!#REF!,4,0),HLOOKUP(Feuil1!Z19,'Référence&amp;tarifs'!#REF!,3,0))),IF('Saisie immeuble'!$C$5="collectif",IF('Résultat immeuble'!N10=1,'Référence&amp;tarifs'!#REF!,IF('Résultat immeuble'!N10&gt;1.9,'Référence&amp;tarifs'!#REF!,IF(AND('Résultat immeuble'!N10&lt;2,('Résultat immeuble'!N10&gt;1)),'Référence&amp;tarifs'!#REF!,0)))))</f>
        <v>#REF!</v>
      </c>
      <c r="AD19" s="230">
        <f>IF('Saisie immeuble'!I16+'Saisie immeuble'!J16&gt;0,18*'Saisie immeuble'!C16+3.5*('Saisie immeuble'!I16+'Saisie immeuble'!J16-1)*'Saisie immeuble'!C16,0)</f>
        <v>1526.5</v>
      </c>
      <c r="AE19" s="231"/>
      <c r="AF19" s="232"/>
      <c r="AG19" s="233">
        <f t="shared" si="11"/>
        <v>379.75605000000002</v>
      </c>
      <c r="AH19" s="228">
        <f>IF('Saisie immeuble'!I16+'Saisie immeuble'!J16&gt;0,350+80*('Saisie immeuble'!I16+'Saisie immeuble'!J16-1),0)</f>
        <v>430</v>
      </c>
      <c r="AI19" s="233">
        <f>IF('Saisie immeuble'!H16="gaz de ville",Feuil1!AB19,IF('Saisie immeuble'!H16=$B$72,V19,0))*Feuil1!AH19+IF(AND(R19&lt;&gt;"gaz",(S19&lt;&gt;"gaz"),('Saisie immeuble'!H16="gaz de ville")),Feuil1!AA19,0)</f>
        <v>66.951000000000008</v>
      </c>
      <c r="AJ19" s="228">
        <f>VLOOKUP('Saisie immeuble'!E16,Feuil1!$G$58:$I$75,2,0)</f>
        <v>0.9</v>
      </c>
      <c r="AK19" s="184" t="str">
        <f>VLOOKUP('Saisie immeuble'!E16,Feuil1!$G$58:$I$75,3,0)</f>
        <v>élec</v>
      </c>
      <c r="AL19" s="234">
        <f>IF(AK19="élec",V19,IF(AK19="gaz",AB19,IF(AK19="fioul",'Référence&amp;tarifs'!$B$25,IF(AK19="bois buche",'Référence&amp;tarifs'!$B$23,IF(AK19="bois granulés",'Référence&amp;tarifs'!$B$24,IF(AK19=I63,0.8*('Référence&amp;tarifs'!$B$23+'Référence&amp;tarifs'!B21)/2+0.2*Feuil1!AB19,0))))))</f>
        <v>0.15570000000000001</v>
      </c>
      <c r="AM19" s="228">
        <f>IF('Saisie immeuble'!I16+'Saisie immeuble'!J16&gt;0,Feuil1!$AM$13+2*('Saisie immeuble'!I16+'Saisie immeuble'!J16-1),0)</f>
        <v>15</v>
      </c>
      <c r="AN19" s="184">
        <f>IF('Saisie immeuble'!I16+'Saisie immeuble'!J16&gt;0,Feuil1!$AN$13*('Saisie immeuble'!I16+'Saisie immeuble'!J16),0)</f>
        <v>10</v>
      </c>
      <c r="AO19" s="184">
        <f>IF('Saisie immeuble'!I16+'Saisie immeuble'!J16&gt;0,Feuil1!$AO$13+3*('Saisie immeuble'!I16+'Saisie immeuble'!J16-1),0)</f>
        <v>10</v>
      </c>
      <c r="AP19" s="184">
        <f>IF('Saisie immeuble'!I16+'Saisie immeuble'!J16&gt;0,Feuil1!$AP$13+2*('Saisie immeuble'!I16+'Saisie immeuble'!J16-1),0)</f>
        <v>9</v>
      </c>
      <c r="AQ19" s="184">
        <f>IF('Saisie immeuble'!I16+'Saisie immeuble'!J16&gt;0,Feuil1!$AQ$13*('Saisie immeuble'!I16+'Saisie immeuble'!J16),0)</f>
        <v>14</v>
      </c>
      <c r="AR19" s="184">
        <f t="shared" si="8"/>
        <v>58</v>
      </c>
      <c r="AS19" s="224">
        <f>AR19*'Saisie immeuble'!$F$8+IF(AND(R19&lt;&gt;"gaz",(S19="gaz")),AA19,0)</f>
        <v>155.44</v>
      </c>
      <c r="AT19" s="228">
        <f>IF('Saisie immeuble'!I16+'Saisie immeuble'!J16&gt;0,1100+700*('Saisie immeuble'!I16+'Saisie immeuble'!J16-1),0)</f>
        <v>1800</v>
      </c>
      <c r="AU19" s="235">
        <f>IF(AW19="élec",Feuil1!V19,IF(AW19="gaz",Feuil1!AB19,IF(AW19="fioul",'Référence&amp;tarifs'!$B$25,IF(AW19="bois",('Référence&amp;tarifs'!$B$23+'Référence&amp;tarifs'!$B$24)/2,0))))</f>
        <v>0.15570000000000001</v>
      </c>
      <c r="AV19" s="184">
        <f>VLOOKUP('Saisie immeuble'!F16,Feuil1!$Q$57:$U$70,4,0)</f>
        <v>0.72</v>
      </c>
      <c r="AW19" s="184" t="str">
        <f>VLOOKUP('Saisie immeuble'!F16,Feuil1!$Q$57:$U$70,5,0)</f>
        <v>élec</v>
      </c>
      <c r="AX19" s="233">
        <f t="shared" si="12"/>
        <v>389.25</v>
      </c>
    </row>
    <row r="20" spans="2:50" x14ac:dyDescent="0.25">
      <c r="B20" s="228" t="s">
        <v>95</v>
      </c>
      <c r="C20" s="184">
        <f>IF('Saisie immeuble'!D17=Feuil1!$B$4,4,IF(AND('Saisie immeuble'!D17=$B$5,('Saisie immeuble'!$C$4=Feuil1!$C$5)),5,IF(AND('Saisie immeuble'!D17=$B$5,('Saisie immeuble'!$C$4=Feuil1!$C$6)),6,IF(AND('Saisie immeuble'!D17=Feuil1!$B$7,('Saisie immeuble'!$C$4=Feuil1!$C$7)),7,IF(AND('Saisie immeuble'!D17=Feuil1!$B$7,('Saisie immeuble'!$C$4=Feuil1!$C$8)),8,0)))))</f>
        <v>8</v>
      </c>
      <c r="D20" s="223">
        <f>HLOOKUP('Saisie immeuble'!$C$3,Feuil1!$D$1:$BM$8,Feuil1!C20,0)</f>
        <v>5048.0999999999995</v>
      </c>
      <c r="E20" s="184">
        <f>HLOOKUP('Saisie immeuble'!$C$3,Feuil1!$D$1:$BM$8,3,0)</f>
        <v>3</v>
      </c>
      <c r="F20" s="184">
        <f>IF(E20=1,450+'Saisie immeuble'!C17*6,IF(E20=2,300+'Saisie immeuble'!C17*5,150+'Saisie immeuble'!C17*3))</f>
        <v>328.89</v>
      </c>
      <c r="G20" s="184">
        <f>IF(E20=1,1400+'Saisie immeuble'!C17*6,IF(E20=2,1100+'Saisie immeuble'!C17*6,500+'Saisie immeuble'!C17*6))</f>
        <v>857.78</v>
      </c>
      <c r="H20" s="223">
        <f>IF('Saisie immeuble'!$C$6="oui",IF('Saisie immeuble'!D17="dernier étage",IF(Feuil1!E20=1,0.4*Feuil1!D20,IF(Feuil1!E20=2,0.35*Feuil1!D20,IF(Feuil1!E20=3,0.3*Feuil1!D20,0))),0),0)</f>
        <v>1514.4299999999998</v>
      </c>
      <c r="I20" s="223">
        <f>IF('Saisie immeuble'!$C$7="oui",IF(AND(Feuil1!E20=1,('Saisie immeuble'!$C$4=Feuil1!$C$5)),0.3*Feuil1!D20,IF(AND(Feuil1!E20=1,('Saisie immeuble'!$C$4=Feuil1!$C$6)),0.2*Feuil1!D20,IF(AND(Feuil1!E20=2,('Saisie immeuble'!$C$4=Feuil1!$C$5)),0.25*Feuil1!D20,IF(AND(Feuil1!E20=2,('Saisie immeuble'!$C$4=Feuil1!$C$6)),0.15*Feuil1!D20,IF(AND(Feuil1!E20=3,('Saisie immeuble'!$C$4=Feuil1!$C$5)),0.2*Feuil1!D20,IF(AND(Feuil1!E20=3,('Saisie immeuble'!$C$4=Feuil1!$C$6)),0.12*Feuil1!D20)))))),0)</f>
        <v>605.77199999999993</v>
      </c>
      <c r="J20" s="223">
        <f>IF('Saisie immeuble'!$C$8="oui",IF(AND(Feuil1!E20=1,('Saisie immeuble'!$C$4=Feuil1!$C$5)),0.22*Feuil1!D20,IF(AND(Feuil1!E20=1,('Saisie immeuble'!$C$4=Feuil1!$C$6)),0.14*Feuil1!D20,IF(AND(Feuil1!E20=2,('Saisie immeuble'!$C$4=Feuil1!$C$5)),0.2*Feuil1!D20,IF(AND(Feuil1!E20=2,('Saisie immeuble'!$C$4=Feuil1!$C$6)),0.12*Feuil1!D20,IF(AND(Feuil1!E20=3,('Saisie immeuble'!$C$4=Feuil1!$C$5)),0.16*Feuil1!D20,IF(AND(Feuil1!E20=3,('Saisie immeuble'!$C$4=Feuil1!$C$6)),0.1*Feuil1!D20)))))),0)</f>
        <v>504.80999999999995</v>
      </c>
      <c r="K20" s="223">
        <f>IF('Saisie immeuble'!$F$7="oui",IF('Saisie immeuble'!D17="rez de chaussée",IF(Feuil1!E20=1,0.2*Feuil1!D20,IF(Feuil1!E20=2,0.16*Feuil1!D20,IF(Feuil1!E20=3,0.12*Feuil1!D20,0))),0),0)</f>
        <v>0</v>
      </c>
      <c r="L20" s="184">
        <f>IF('Saisie immeuble'!C17&gt;0,IF('Saisie immeuble'!C17&gt;57,('Saisie immeuble'!C17-57)*55,('Saisie immeuble'!C17-57)*35),0)</f>
        <v>144.65000000000015</v>
      </c>
      <c r="M20" s="184">
        <f>IF('Saisie immeuble'!C17&gt;0,IF('Saisie immeuble'!$H$7=Feuil1!$B$78,IF(Feuil1!E20=1,700,IF(Feuil1!E20=2,550,400)),IF('Saisie immeuble'!$H$7=Feuil1!$B$79,IF(Feuil1!E20=1,350,IF(Feuil1!E20=2,275,200)),0))*(1-((57-'Saisie immeuble'!C17)/100)),0)</f>
        <v>0</v>
      </c>
      <c r="N20" s="223">
        <f>D20-IF('Saisie immeuble'!G17=Feuil1!$B$68,Feuil1!F20,IF('Saisie immeuble'!G17=Feuil1!$B$69,G20,0))-H20-I20-J20+L20-K20+M20</f>
        <v>2567.7379999999998</v>
      </c>
      <c r="O20" s="223">
        <f t="shared" si="9"/>
        <v>2670.4475199999997</v>
      </c>
      <c r="P20" s="223">
        <f>IF('Saisie immeuble'!$C$5="individuel",N20/AJ20,O20/AJ20)</f>
        <v>2853.0422222222219</v>
      </c>
      <c r="Q20" s="224">
        <f t="shared" si="10"/>
        <v>444.21867399999996</v>
      </c>
      <c r="R20" s="228" t="str">
        <f>VLOOKUP('Saisie immeuble'!E17,Feuil1!$G$58:$I$75,3,0)</f>
        <v>élec</v>
      </c>
      <c r="S20" s="184" t="str">
        <f>VLOOKUP('Saisie immeuble'!F17,Feuil1!$Q$57:$U$70,5,0)</f>
        <v>élec</v>
      </c>
      <c r="T20" s="184">
        <f>IF(AND(R20&lt;&gt;"élec",(S20&lt;&gt;"élec"),('Saisie immeuble'!C17&lt;40)),'Référence&amp;tarifs'!$A$6,IF(AND(R20="élec",(S20="élec")),'Référence&amp;tarifs'!$A$8,'Référence&amp;tarifs'!$A$7))</f>
        <v>9</v>
      </c>
      <c r="U20" s="184">
        <f>VLOOKUP(T20,'Référence&amp;tarifs'!$A$6:$C$10,2,0)</f>
        <v>142.08000000000001</v>
      </c>
      <c r="V20" s="184">
        <f>VLOOKUP(T20,'Référence&amp;tarifs'!$A$6:$C$10,3,0)</f>
        <v>0.15570000000000001</v>
      </c>
      <c r="W20" s="184"/>
      <c r="X20" s="236" t="e">
        <f>IF('Résultat immeuble'!N11&lt;1.1,HLOOKUP(Feuil1!T20,'Référence&amp;tarifs'!#REF!,2,0),IF('Résultat immeuble'!N11&gt;1.9,HLOOKUP(Feuil1!T20,'Référence&amp;tarifs'!#REF!,4,0),HLOOKUP(Feuil1!T20,'Référence&amp;tarifs'!#REF!,3,0)))</f>
        <v>#REF!</v>
      </c>
      <c r="Y20" s="228">
        <f>IF(R20="gaz",N20,0)+IF(S20="gaz",AT20,0)+IF('Saisie immeuble'!H17="gaz de ville",Feuil1!AH20,0)</f>
        <v>0</v>
      </c>
      <c r="Z20" s="184" t="str">
        <f>IF(Y20&lt;1000,'Référence&amp;tarifs'!$A$16,IF(Y20&gt;5999,'Référence&amp;tarifs'!$A$18,'Référence&amp;tarifs'!$A$17))</f>
        <v>base</v>
      </c>
      <c r="AA20" s="184">
        <f>VLOOKUP(Z20,'Référence&amp;tarifs'!$A$16:$C$18,2,0)</f>
        <v>108</v>
      </c>
      <c r="AB20" s="184">
        <f>VLOOKUP(Z20,'Référence&amp;tarifs'!$A$16:$C$18,3,0)</f>
        <v>7.8899999999999998E-2</v>
      </c>
      <c r="AC20" s="229" t="e">
        <f>IF('Saisie immeuble'!$C$5="individuel",IF('Résultat immeuble'!N11=1,HLOOKUP(Feuil1!Z20,'Référence&amp;tarifs'!#REF!,2,0),IF('Résultat immeuble'!N11&gt;1.9,HLOOKUP(Feuil1!Z20,'Référence&amp;tarifs'!#REF!,4,0),HLOOKUP(Feuil1!Z20,'Référence&amp;tarifs'!#REF!,3,0))),IF('Saisie immeuble'!$C$5="collectif",IF('Résultat immeuble'!N11=1,'Référence&amp;tarifs'!#REF!,IF('Résultat immeuble'!N11&gt;1.9,'Référence&amp;tarifs'!#REF!,IF(AND('Résultat immeuble'!N11&lt;2,('Résultat immeuble'!N11&gt;1)),'Référence&amp;tarifs'!#REF!,0)))))</f>
        <v>#REF!</v>
      </c>
      <c r="AD20" s="230">
        <f>IF('Saisie immeuble'!I17+'Saisie immeuble'!J17&gt;0,18*'Saisie immeuble'!C17+3.5*('Saisie immeuble'!I17+'Saisie immeuble'!J17-1)*'Saisie immeuble'!C17,0)</f>
        <v>1282.0450000000001</v>
      </c>
      <c r="AE20" s="231"/>
      <c r="AF20" s="232"/>
      <c r="AG20" s="233">
        <f t="shared" si="11"/>
        <v>341.69440650000001</v>
      </c>
      <c r="AH20" s="228">
        <f>IF('Saisie immeuble'!I17+'Saisie immeuble'!J17&gt;0,350+80*('Saisie immeuble'!I17+'Saisie immeuble'!J17-1),0)</f>
        <v>430</v>
      </c>
      <c r="AI20" s="233">
        <f>IF('Saisie immeuble'!H17="gaz de ville",Feuil1!AB20,IF('Saisie immeuble'!H17=$B$72,V20,0))*Feuil1!AH20+IF(AND(R20&lt;&gt;"gaz",(S20&lt;&gt;"gaz"),('Saisie immeuble'!H17="gaz de ville")),Feuil1!AA20,0)</f>
        <v>66.951000000000008</v>
      </c>
      <c r="AJ20" s="228">
        <f>VLOOKUP('Saisie immeuble'!E17,Feuil1!$G$58:$I$75,2,0)</f>
        <v>0.9</v>
      </c>
      <c r="AK20" s="184" t="str">
        <f>VLOOKUP('Saisie immeuble'!E17,Feuil1!$G$58:$I$75,3,0)</f>
        <v>élec</v>
      </c>
      <c r="AL20" s="234">
        <f>IF(AK20="élec",V20,IF(AK20="gaz",AB20,IF(AK20="fioul",'Référence&amp;tarifs'!$B$25,IF(AK20="bois buche",'Référence&amp;tarifs'!$B$23,IF(AK20="bois granulés",'Référence&amp;tarifs'!$B$24,IF(AK20=I64,0.8*('Référence&amp;tarifs'!$B$23+'Référence&amp;tarifs'!B22)/2+0.2*Feuil1!AB20,0))))))</f>
        <v>0.15570000000000001</v>
      </c>
      <c r="AM20" s="228">
        <f>IF('Saisie immeuble'!I17+'Saisie immeuble'!J17&gt;0,Feuil1!$AM$13+2*('Saisie immeuble'!I17+'Saisie immeuble'!J17-1),0)</f>
        <v>15</v>
      </c>
      <c r="AN20" s="184">
        <f>IF('Saisie immeuble'!I17+'Saisie immeuble'!J17&gt;0,Feuil1!$AN$13*('Saisie immeuble'!I17+'Saisie immeuble'!J17),0)</f>
        <v>10</v>
      </c>
      <c r="AO20" s="184">
        <f>IF('Saisie immeuble'!I17+'Saisie immeuble'!J17&gt;0,Feuil1!$AO$13+3*('Saisie immeuble'!I17+'Saisie immeuble'!J17-1),0)</f>
        <v>10</v>
      </c>
      <c r="AP20" s="184">
        <f>IF('Saisie immeuble'!I17+'Saisie immeuble'!J17&gt;0,Feuil1!$AP$13+2*('Saisie immeuble'!I17+'Saisie immeuble'!J17-1),0)</f>
        <v>9</v>
      </c>
      <c r="AQ20" s="184">
        <f>IF('Saisie immeuble'!I17+'Saisie immeuble'!J17&gt;0,Feuil1!$AQ$13*('Saisie immeuble'!I17+'Saisie immeuble'!J17),0)</f>
        <v>14</v>
      </c>
      <c r="AR20" s="184">
        <f t="shared" si="8"/>
        <v>58</v>
      </c>
      <c r="AS20" s="224">
        <f>AR20*'Saisie immeuble'!$F$8+IF(AND(R20&lt;&gt;"gaz",(S20="gaz")),AA20,0)</f>
        <v>155.44</v>
      </c>
      <c r="AT20" s="228">
        <f>IF('Saisie immeuble'!I17+'Saisie immeuble'!J17&gt;0,1100+700*('Saisie immeuble'!I17+'Saisie immeuble'!J17-1),0)</f>
        <v>1800</v>
      </c>
      <c r="AU20" s="235">
        <f>IF(AW20="élec",Feuil1!V20,IF(AW20="gaz",Feuil1!AB20,IF(AW20="fioul",'Référence&amp;tarifs'!$B$25,IF(AW20="bois",('Référence&amp;tarifs'!$B$23+'Référence&amp;tarifs'!$B$24)/2,0))))</f>
        <v>0.15570000000000001</v>
      </c>
      <c r="AV20" s="184">
        <f>VLOOKUP('Saisie immeuble'!F17,Feuil1!$Q$57:$U$70,4,0)</f>
        <v>0.72</v>
      </c>
      <c r="AW20" s="184" t="str">
        <f>VLOOKUP('Saisie immeuble'!F17,Feuil1!$Q$57:$U$70,5,0)</f>
        <v>élec</v>
      </c>
      <c r="AX20" s="233">
        <f t="shared" si="12"/>
        <v>389.25</v>
      </c>
    </row>
    <row r="21" spans="2:50" x14ac:dyDescent="0.25">
      <c r="B21" s="228" t="s">
        <v>96</v>
      </c>
      <c r="C21" s="184">
        <f>IF('Saisie immeuble'!D18=Feuil1!$B$4,4,IF(AND('Saisie immeuble'!D18=$B$5,('Saisie immeuble'!$C$4=Feuil1!$C$5)),5,IF(AND('Saisie immeuble'!D18=$B$5,('Saisie immeuble'!$C$4=Feuil1!$C$6)),6,IF(AND('Saisie immeuble'!D18=Feuil1!$B$7,('Saisie immeuble'!$C$4=Feuil1!$C$7)),7,IF(AND('Saisie immeuble'!D18=Feuil1!$B$7,('Saisie immeuble'!$C$4=Feuil1!$C$8)),8,0)))))</f>
        <v>0</v>
      </c>
      <c r="D21" s="223" t="e">
        <f>HLOOKUP('Saisie immeuble'!$C$3,Feuil1!$D$1:$BM$8,Feuil1!C21,0)</f>
        <v>#VALUE!</v>
      </c>
      <c r="E21" s="184">
        <f>HLOOKUP('Saisie immeuble'!$C$3,Feuil1!$D$1:$BM$8,3,0)</f>
        <v>3</v>
      </c>
      <c r="F21" s="184">
        <f>IF(E21=1,450+'Saisie immeuble'!C18*6,IF(E21=2,300+'Saisie immeuble'!C18*5,150+'Saisie immeuble'!C18*3))</f>
        <v>150</v>
      </c>
      <c r="G21" s="184">
        <f>IF(E21=1,1400+'Saisie immeuble'!C18*6,IF(E21=2,1100+'Saisie immeuble'!C18*6,500+'Saisie immeuble'!C18*6))</f>
        <v>500</v>
      </c>
      <c r="H21" s="223">
        <f>IF('Saisie immeuble'!$C$6="oui",IF('Saisie immeuble'!D18="dernier étage",IF(Feuil1!E21=1,0.4*Feuil1!D21,IF(Feuil1!E21=2,0.35*Feuil1!D21,IF(Feuil1!E21=3,0.3*Feuil1!D21,0))),0),0)</f>
        <v>0</v>
      </c>
      <c r="I21" s="223" t="e">
        <f>IF('Saisie immeuble'!$C$7="oui",IF(AND(Feuil1!E21=1,('Saisie immeuble'!$C$4=Feuil1!$C$5)),0.3*Feuil1!D21,IF(AND(Feuil1!E21=1,('Saisie immeuble'!$C$4=Feuil1!$C$6)),0.2*Feuil1!D21,IF(AND(Feuil1!E21=2,('Saisie immeuble'!$C$4=Feuil1!$C$5)),0.25*Feuil1!D21,IF(AND(Feuil1!E21=2,('Saisie immeuble'!$C$4=Feuil1!$C$6)),0.15*Feuil1!D21,IF(AND(Feuil1!E21=3,('Saisie immeuble'!$C$4=Feuil1!$C$5)),0.2*Feuil1!D21,IF(AND(Feuil1!E21=3,('Saisie immeuble'!$C$4=Feuil1!$C$6)),0.12*Feuil1!D21)))))),0)</f>
        <v>#VALUE!</v>
      </c>
      <c r="J21" s="223" t="e">
        <f>IF('Saisie immeuble'!$C$8="oui",IF(AND(Feuil1!E21=1,('Saisie immeuble'!$C$4=Feuil1!$C$5)),0.22*Feuil1!D21,IF(AND(Feuil1!E21=1,('Saisie immeuble'!$C$4=Feuil1!$C$6)),0.14*Feuil1!D21,IF(AND(Feuil1!E21=2,('Saisie immeuble'!$C$4=Feuil1!$C$5)),0.2*Feuil1!D21,IF(AND(Feuil1!E21=2,('Saisie immeuble'!$C$4=Feuil1!$C$6)),0.12*Feuil1!D21,IF(AND(Feuil1!E21=3,('Saisie immeuble'!$C$4=Feuil1!$C$5)),0.16*Feuil1!D21,IF(AND(Feuil1!E21=3,('Saisie immeuble'!$C$4=Feuil1!$C$6)),0.1*Feuil1!D21)))))),0)</f>
        <v>#VALUE!</v>
      </c>
      <c r="K21" s="223">
        <f>IF('Saisie immeuble'!$F$7="oui",IF('Saisie immeuble'!D18="rez de chaussée",IF(Feuil1!E21=1,0.2*Feuil1!D21,IF(Feuil1!E21=2,0.16*Feuil1!D21,IF(Feuil1!E21=3,0.12*Feuil1!D21,0))),0),0)</f>
        <v>0</v>
      </c>
      <c r="L21" s="184">
        <f>IF('Saisie immeuble'!C18&gt;0,IF('Saisie immeuble'!C18&gt;57,('Saisie immeuble'!C18-57)*55,('Saisie immeuble'!C18-57)*35),0)</f>
        <v>0</v>
      </c>
      <c r="M21" s="184">
        <f>IF('Saisie immeuble'!C18&gt;0,IF('Saisie immeuble'!$H$7=Feuil1!$B$78,IF(Feuil1!E21=1,700,IF(Feuil1!E21=2,550,400)),IF('Saisie immeuble'!$H$7=Feuil1!$B$79,IF(Feuil1!E21=1,350,IF(Feuil1!E21=2,275,200)),0))*(1-((57-'Saisie immeuble'!C18)/100)),0)</f>
        <v>0</v>
      </c>
      <c r="N21" s="223" t="e">
        <f>D21-IF('Saisie immeuble'!G18=Feuil1!$B$68,Feuil1!F21,IF('Saisie immeuble'!G18=Feuil1!$B$69,G21,0))-H21-I21-J21+L21-K21+M21</f>
        <v>#VALUE!</v>
      </c>
      <c r="O21" s="223" t="e">
        <f t="shared" si="9"/>
        <v>#VALUE!</v>
      </c>
      <c r="P21" s="223" t="e">
        <f>IF('Saisie immeuble'!$C$5="individuel",N21/AJ21,O21/AJ21)</f>
        <v>#VALUE!</v>
      </c>
      <c r="Q21" s="224" t="e">
        <f t="shared" si="10"/>
        <v>#VALUE!</v>
      </c>
      <c r="R21" s="228" t="e">
        <f>VLOOKUP('Saisie immeuble'!E18,Feuil1!$G$58:$I$75,3,0)</f>
        <v>#N/A</v>
      </c>
      <c r="S21" s="184" t="e">
        <f>VLOOKUP('Saisie immeuble'!F18,Feuil1!$Q$57:$U$70,5,0)</f>
        <v>#N/A</v>
      </c>
      <c r="T21" s="184" t="e">
        <f>IF(AND(R21&lt;&gt;"élec",(S21&lt;&gt;"élec"),('Saisie immeuble'!C18&lt;40)),'Référence&amp;tarifs'!$A$6,IF(AND(R21="élec",(S21="élec")),'Référence&amp;tarifs'!$A$8,'Référence&amp;tarifs'!$A$7))</f>
        <v>#N/A</v>
      </c>
      <c r="U21" s="184" t="e">
        <f>VLOOKUP(T21,'Référence&amp;tarifs'!$A$6:$C$10,2,0)</f>
        <v>#N/A</v>
      </c>
      <c r="V21" s="184" t="e">
        <f>VLOOKUP(T21,'Référence&amp;tarifs'!$A$6:$C$10,3,0)</f>
        <v>#N/A</v>
      </c>
      <c r="W21" s="184"/>
      <c r="X21" s="236" t="e">
        <f>IF('Résultat immeuble'!N12&lt;1.1,HLOOKUP(Feuil1!T21,'Référence&amp;tarifs'!#REF!,2,0),IF('Résultat immeuble'!N12&gt;1.9,HLOOKUP(Feuil1!T21,'Référence&amp;tarifs'!#REF!,4,0),HLOOKUP(Feuil1!T21,'Référence&amp;tarifs'!#REF!,3,0)))</f>
        <v>#N/A</v>
      </c>
      <c r="Y21" s="228" t="e">
        <f>IF(R21="gaz",N21,0)+IF(S21="gaz",AT21,0)+IF('Saisie immeuble'!H18="gaz de ville",Feuil1!AH21,0)</f>
        <v>#N/A</v>
      </c>
      <c r="Z21" s="184" t="e">
        <f>IF(Y21&lt;1000,'Référence&amp;tarifs'!$A$16,IF(Y21&gt;5999,'Référence&amp;tarifs'!$A$18,'Référence&amp;tarifs'!$A$17))</f>
        <v>#N/A</v>
      </c>
      <c r="AA21" s="184" t="e">
        <f>VLOOKUP(Z21,'Référence&amp;tarifs'!$A$16:$C$18,2,0)</f>
        <v>#N/A</v>
      </c>
      <c r="AB21" s="184" t="e">
        <f>VLOOKUP(Z21,'Référence&amp;tarifs'!$A$16:$C$18,3,0)</f>
        <v>#N/A</v>
      </c>
      <c r="AC21" s="229" t="e">
        <f>IF('Saisie immeuble'!$C$5="individuel",IF('Résultat immeuble'!N12=1,HLOOKUP(Feuil1!Z21,'Référence&amp;tarifs'!#REF!,2,0),IF('Résultat immeuble'!N12&gt;1.9,HLOOKUP(Feuil1!Z21,'Référence&amp;tarifs'!#REF!,4,0),HLOOKUP(Feuil1!Z21,'Référence&amp;tarifs'!#REF!,3,0))),IF('Saisie immeuble'!$C$5="collectif",IF('Résultat immeuble'!N12=1,'Référence&amp;tarifs'!#REF!,IF('Résultat immeuble'!N12&gt;1.9,'Référence&amp;tarifs'!#REF!,IF(AND('Résultat immeuble'!N12&lt;2,('Résultat immeuble'!N12&gt;1)),'Référence&amp;tarifs'!#REF!,0)))))</f>
        <v>#N/A</v>
      </c>
      <c r="AD21" s="230">
        <f>IF('Saisie immeuble'!I18+'Saisie immeuble'!J18&gt;0,18*'Saisie immeuble'!C18+3.5*('Saisie immeuble'!I18+'Saisie immeuble'!J18-1)*'Saisie immeuble'!C18,0)</f>
        <v>0</v>
      </c>
      <c r="AE21" s="231"/>
      <c r="AF21" s="232"/>
      <c r="AG21" s="233" t="e">
        <f t="shared" si="11"/>
        <v>#N/A</v>
      </c>
      <c r="AH21" s="228">
        <f>IF('Saisie immeuble'!I18+'Saisie immeuble'!J18&gt;0,350+80*('Saisie immeuble'!I18+'Saisie immeuble'!J18-1),0)</f>
        <v>0</v>
      </c>
      <c r="AI21" s="233" t="e">
        <f>IF('Saisie immeuble'!H18="gaz de ville",Feuil1!AB21,IF('Saisie immeuble'!H18=$B$72,V21,0))*Feuil1!AH21+IF(AND(R21&lt;&gt;"gaz",(S21&lt;&gt;"gaz"),('Saisie immeuble'!H18="gaz de ville")),Feuil1!AA21,0)</f>
        <v>#N/A</v>
      </c>
      <c r="AJ21" s="228" t="e">
        <f>VLOOKUP('Saisie immeuble'!E18,Feuil1!$G$58:$I$75,2,0)</f>
        <v>#N/A</v>
      </c>
      <c r="AK21" s="184" t="e">
        <f>VLOOKUP('Saisie immeuble'!E18,Feuil1!$G$58:$I$75,3,0)</f>
        <v>#N/A</v>
      </c>
      <c r="AL21" s="234" t="e">
        <f>IF(AK21="élec",V21,IF(AK21="gaz",AB21,IF(AK21="fioul",'Référence&amp;tarifs'!$B$25,IF(AK21="bois buche",'Référence&amp;tarifs'!$B$23,IF(AK21="bois granulés",'Référence&amp;tarifs'!$B$24,IF(AK21=I65,0.8*('Référence&amp;tarifs'!$B$23+'Référence&amp;tarifs'!B23)/2+0.2*Feuil1!AB21,0))))))</f>
        <v>#N/A</v>
      </c>
      <c r="AM21" s="228">
        <f>IF('Saisie immeuble'!I18+'Saisie immeuble'!J18&gt;0,Feuil1!$AM$13+2*('Saisie immeuble'!I18+'Saisie immeuble'!J18-1),0)</f>
        <v>0</v>
      </c>
      <c r="AN21" s="184">
        <f>IF('Saisie immeuble'!I18+'Saisie immeuble'!J18&gt;0,Feuil1!$AN$13*('Saisie immeuble'!I18+'Saisie immeuble'!J18),0)</f>
        <v>0</v>
      </c>
      <c r="AO21" s="184">
        <f>IF('Saisie immeuble'!I18+'Saisie immeuble'!J18&gt;0,Feuil1!$AO$13+3*('Saisie immeuble'!I18+'Saisie immeuble'!J18-1),0)</f>
        <v>0</v>
      </c>
      <c r="AP21" s="184">
        <f>IF('Saisie immeuble'!I18+'Saisie immeuble'!J18&gt;0,Feuil1!$AP$13+2*('Saisie immeuble'!I18+'Saisie immeuble'!J18-1),0)</f>
        <v>0</v>
      </c>
      <c r="AQ21" s="184">
        <f>IF('Saisie immeuble'!I18+'Saisie immeuble'!J18&gt;0,Feuil1!$AQ$13*('Saisie immeuble'!I18+'Saisie immeuble'!J18),0)</f>
        <v>0</v>
      </c>
      <c r="AR21" s="184">
        <f t="shared" si="8"/>
        <v>0</v>
      </c>
      <c r="AS21" s="224" t="e">
        <f>AR21*'Saisie immeuble'!$F$8+IF(AND(R21&lt;&gt;"gaz",(S21="gaz")),AA21,0)</f>
        <v>#N/A</v>
      </c>
      <c r="AT21" s="228">
        <f>IF('Saisie immeuble'!I18+'Saisie immeuble'!J18&gt;0,1100+700*('Saisie immeuble'!I18+'Saisie immeuble'!J18-1),0)</f>
        <v>0</v>
      </c>
      <c r="AU21" s="235" t="e">
        <f>IF(AW21="élec",Feuil1!V21,IF(AW21="gaz",Feuil1!AB21,IF(AW21="fioul",'Référence&amp;tarifs'!$B$25,IF(AW21="bois",('Référence&amp;tarifs'!$B$23+'Référence&amp;tarifs'!$B$24)/2,0))))</f>
        <v>#N/A</v>
      </c>
      <c r="AV21" s="184" t="e">
        <f>VLOOKUP('Saisie immeuble'!F18,Feuil1!$Q$57:$U$70,4,0)</f>
        <v>#N/A</v>
      </c>
      <c r="AW21" s="184" t="e">
        <f>VLOOKUP('Saisie immeuble'!F18,Feuil1!$Q$57:$U$70,5,0)</f>
        <v>#N/A</v>
      </c>
      <c r="AX21" s="233" t="e">
        <f t="shared" si="12"/>
        <v>#N/A</v>
      </c>
    </row>
    <row r="22" spans="2:50" x14ac:dyDescent="0.25">
      <c r="B22" s="228" t="s">
        <v>97</v>
      </c>
      <c r="C22" s="184">
        <f>IF('Saisie immeuble'!D19=Feuil1!$B$4,4,IF(AND('Saisie immeuble'!D19=$B$5,('Saisie immeuble'!$C$4=Feuil1!$C$5)),5,IF(AND('Saisie immeuble'!D19=$B$5,('Saisie immeuble'!$C$4=Feuil1!$C$6)),6,IF(AND('Saisie immeuble'!D19=Feuil1!$B$7,('Saisie immeuble'!$C$4=Feuil1!$C$7)),7,IF(AND('Saisie immeuble'!D19=Feuil1!$B$7,('Saisie immeuble'!$C$4=Feuil1!$C$8)),8,0)))))</f>
        <v>0</v>
      </c>
      <c r="D22" s="223" t="e">
        <f>HLOOKUP('Saisie immeuble'!$C$3,Feuil1!$D$1:$BM$8,Feuil1!C22,0)</f>
        <v>#VALUE!</v>
      </c>
      <c r="E22" s="184">
        <f>HLOOKUP('Saisie immeuble'!$C$3,Feuil1!$D$1:$BM$8,3,0)</f>
        <v>3</v>
      </c>
      <c r="F22" s="184">
        <f>IF(E22=1,450+'Saisie immeuble'!C19*6,IF(E22=2,300+'Saisie immeuble'!C19*5,150+'Saisie immeuble'!C19*3))</f>
        <v>150</v>
      </c>
      <c r="G22" s="184">
        <f>IF(E22=1,1400+'Saisie immeuble'!C19*6,IF(E22=2,1100+'Saisie immeuble'!C19*6,500+'Saisie immeuble'!C19*6))</f>
        <v>500</v>
      </c>
      <c r="H22" s="223">
        <f>IF('Saisie immeuble'!$C$6="oui",IF('Saisie immeuble'!D19="dernier étage",IF(Feuil1!E22=1,0.4*Feuil1!D22,IF(Feuil1!E22=2,0.35*Feuil1!D22,IF(Feuil1!E22=3,0.3*Feuil1!D22,0))),0),0)</f>
        <v>0</v>
      </c>
      <c r="I22" s="223" t="e">
        <f>IF('Saisie immeuble'!$C$7="oui",IF(AND(Feuil1!E22=1,('Saisie immeuble'!$C$4=Feuil1!$C$5)),0.3*Feuil1!D22,IF(AND(Feuil1!E22=1,('Saisie immeuble'!$C$4=Feuil1!$C$6)),0.2*Feuil1!D22,IF(AND(Feuil1!E22=2,('Saisie immeuble'!$C$4=Feuil1!$C$5)),0.25*Feuil1!D22,IF(AND(Feuil1!E22=2,('Saisie immeuble'!$C$4=Feuil1!$C$6)),0.15*Feuil1!D22,IF(AND(Feuil1!E22=3,('Saisie immeuble'!$C$4=Feuil1!$C$5)),0.2*Feuil1!D22,IF(AND(Feuil1!E22=3,('Saisie immeuble'!$C$4=Feuil1!$C$6)),0.12*Feuil1!D22)))))),0)</f>
        <v>#VALUE!</v>
      </c>
      <c r="J22" s="223" t="e">
        <f>IF('Saisie immeuble'!$C$8="oui",IF(AND(Feuil1!E22=1,('Saisie immeuble'!$C$4=Feuil1!$C$5)),0.22*Feuil1!D22,IF(AND(Feuil1!E22=1,('Saisie immeuble'!$C$4=Feuil1!$C$6)),0.14*Feuil1!D22,IF(AND(Feuil1!E22=2,('Saisie immeuble'!$C$4=Feuil1!$C$5)),0.2*Feuil1!D22,IF(AND(Feuil1!E22=2,('Saisie immeuble'!$C$4=Feuil1!$C$6)),0.12*Feuil1!D22,IF(AND(Feuil1!E22=3,('Saisie immeuble'!$C$4=Feuil1!$C$5)),0.16*Feuil1!D22,IF(AND(Feuil1!E22=3,('Saisie immeuble'!$C$4=Feuil1!$C$6)),0.1*Feuil1!D22)))))),0)</f>
        <v>#VALUE!</v>
      </c>
      <c r="K22" s="223">
        <f>IF('Saisie immeuble'!$F$7="oui",IF('Saisie immeuble'!D19="rez de chaussée",IF(Feuil1!E22=1,0.2*Feuil1!D22,IF(Feuil1!E22=2,0.16*Feuil1!D22,IF(Feuil1!E22=3,0.12*Feuil1!D22,0))),0),0)</f>
        <v>0</v>
      </c>
      <c r="L22" s="184">
        <f>IF('Saisie immeuble'!C19&gt;0,IF('Saisie immeuble'!C19&gt;57,('Saisie immeuble'!C19-57)*55,('Saisie immeuble'!C19-57)*35),0)</f>
        <v>0</v>
      </c>
      <c r="M22" s="184">
        <f>IF('Saisie immeuble'!C19&gt;0,IF('Saisie immeuble'!$H$7=Feuil1!$B$78,IF(Feuil1!E22=1,700,IF(Feuil1!E22=2,550,400)),IF('Saisie immeuble'!$H$7=Feuil1!$B$79,IF(Feuil1!E22=1,350,IF(Feuil1!E22=2,275,200)),0))*(1-((57-'Saisie immeuble'!C19)/100)),0)</f>
        <v>0</v>
      </c>
      <c r="N22" s="223" t="e">
        <f>D22-IF('Saisie immeuble'!G19=Feuil1!$B$68,Feuil1!F22,IF('Saisie immeuble'!G19=Feuil1!$B$69,G22,0))-H22-I22-J22+L22-K22+M22</f>
        <v>#VALUE!</v>
      </c>
      <c r="O22" s="223" t="e">
        <f t="shared" si="9"/>
        <v>#VALUE!</v>
      </c>
      <c r="P22" s="223" t="e">
        <f>IF('Saisie immeuble'!$C$5="individuel",N22/AJ22,O22/AJ22)</f>
        <v>#VALUE!</v>
      </c>
      <c r="Q22" s="224" t="e">
        <f t="shared" si="10"/>
        <v>#VALUE!</v>
      </c>
      <c r="R22" s="228" t="e">
        <f>VLOOKUP('Saisie immeuble'!E19,Feuil1!$G$58:$I$75,3,0)</f>
        <v>#N/A</v>
      </c>
      <c r="S22" s="184" t="e">
        <f>VLOOKUP('Saisie immeuble'!F19,Feuil1!$Q$57:$U$70,5,0)</f>
        <v>#N/A</v>
      </c>
      <c r="T22" s="184" t="e">
        <f>IF(AND(R22&lt;&gt;"élec",(S22&lt;&gt;"élec"),('Saisie immeuble'!C19&lt;40)),'Référence&amp;tarifs'!$A$6,IF(AND(R22="élec",(S22="élec")),'Référence&amp;tarifs'!$A$8,'Référence&amp;tarifs'!$A$7))</f>
        <v>#N/A</v>
      </c>
      <c r="U22" s="184" t="e">
        <f>VLOOKUP(T22,'Référence&amp;tarifs'!$A$6:$C$10,2,0)</f>
        <v>#N/A</v>
      </c>
      <c r="V22" s="184" t="e">
        <f>VLOOKUP(T22,'Référence&amp;tarifs'!$A$6:$C$10,3,0)</f>
        <v>#N/A</v>
      </c>
      <c r="W22" s="184"/>
      <c r="X22" s="236" t="e">
        <f>IF('Résultat immeuble'!N13&lt;1.1,HLOOKUP(Feuil1!T22,'Référence&amp;tarifs'!#REF!,2,0),IF('Résultat immeuble'!N13&gt;1.9,HLOOKUP(Feuil1!T22,'Référence&amp;tarifs'!#REF!,4,0),HLOOKUP(Feuil1!T22,'Référence&amp;tarifs'!#REF!,3,0)))</f>
        <v>#N/A</v>
      </c>
      <c r="Y22" s="228" t="e">
        <f>IF(R22="gaz",N22,0)+IF(S22="gaz",AT22,0)+IF('Saisie immeuble'!H19="gaz de ville",Feuil1!AH22,0)</f>
        <v>#N/A</v>
      </c>
      <c r="Z22" s="184" t="e">
        <f>IF(Y22&lt;1000,'Référence&amp;tarifs'!$A$16,IF(Y22&gt;5999,'Référence&amp;tarifs'!$A$18,'Référence&amp;tarifs'!$A$17))</f>
        <v>#N/A</v>
      </c>
      <c r="AA22" s="184" t="e">
        <f>VLOOKUP(Z22,'Référence&amp;tarifs'!$A$16:$C$18,2,0)</f>
        <v>#N/A</v>
      </c>
      <c r="AB22" s="184" t="e">
        <f>VLOOKUP(Z22,'Référence&amp;tarifs'!$A$16:$C$18,3,0)</f>
        <v>#N/A</v>
      </c>
      <c r="AC22" s="229" t="e">
        <f>IF('Saisie immeuble'!$C$5="individuel",IF('Résultat immeuble'!N13=1,HLOOKUP(Feuil1!Z22,'Référence&amp;tarifs'!#REF!,2,0),IF('Résultat immeuble'!N13&gt;1.9,HLOOKUP(Feuil1!Z22,'Référence&amp;tarifs'!#REF!,4,0),HLOOKUP(Feuil1!Z22,'Référence&amp;tarifs'!#REF!,3,0))),IF('Saisie immeuble'!$C$5="collectif",IF('Résultat immeuble'!N13=1,'Référence&amp;tarifs'!#REF!,IF('Résultat immeuble'!N13&gt;1.9,'Référence&amp;tarifs'!#REF!,IF(AND('Résultat immeuble'!N13&lt;2,('Résultat immeuble'!N13&gt;1)),'Référence&amp;tarifs'!#REF!,0)))))</f>
        <v>#N/A</v>
      </c>
      <c r="AD22" s="230">
        <f>IF('Saisie immeuble'!I19+'Saisie immeuble'!J19&gt;0,18*'Saisie immeuble'!C19+3.5*('Saisie immeuble'!I19+'Saisie immeuble'!J19-1)*'Saisie immeuble'!C19,0)</f>
        <v>0</v>
      </c>
      <c r="AE22" s="231"/>
      <c r="AF22" s="232"/>
      <c r="AG22" s="233" t="e">
        <f t="shared" si="11"/>
        <v>#N/A</v>
      </c>
      <c r="AH22" s="228">
        <f>IF('Saisie immeuble'!I19+'Saisie immeuble'!J19&gt;0,350+80*('Saisie immeuble'!I19+'Saisie immeuble'!J19-1),0)</f>
        <v>0</v>
      </c>
      <c r="AI22" s="233" t="e">
        <f>IF('Saisie immeuble'!H19="gaz de ville",Feuil1!AB22,IF('Saisie immeuble'!H19=$B$72,V22,0))*Feuil1!AH22+IF(AND(R22&lt;&gt;"gaz",(S22&lt;&gt;"gaz"),('Saisie immeuble'!H19="gaz de ville")),Feuil1!AA22,0)</f>
        <v>#N/A</v>
      </c>
      <c r="AJ22" s="228" t="e">
        <f>VLOOKUP('Saisie immeuble'!E19,Feuil1!$G$58:$I$75,2,0)</f>
        <v>#N/A</v>
      </c>
      <c r="AK22" s="184" t="e">
        <f>VLOOKUP('Saisie immeuble'!E19,Feuil1!$G$58:$I$75,3,0)</f>
        <v>#N/A</v>
      </c>
      <c r="AL22" s="234" t="e">
        <f>IF(AK22="élec",V22,IF(AK22="gaz",AB22,IF(AK22="fioul",'Référence&amp;tarifs'!$B$25,IF(AK22="bois buche",'Référence&amp;tarifs'!$B$23,IF(AK22="bois granulés",'Référence&amp;tarifs'!$B$24,IF(AK22=I66,0.8*('Référence&amp;tarifs'!$B$23+'Référence&amp;tarifs'!B24)/2+0.2*Feuil1!AB22,0))))))</f>
        <v>#N/A</v>
      </c>
      <c r="AM22" s="228">
        <f>IF('Saisie immeuble'!I19+'Saisie immeuble'!J19&gt;0,Feuil1!$AM$13+2*('Saisie immeuble'!I19+'Saisie immeuble'!J19-1),0)</f>
        <v>0</v>
      </c>
      <c r="AN22" s="184">
        <f>IF('Saisie immeuble'!I19+'Saisie immeuble'!J19&gt;0,Feuil1!$AN$13*('Saisie immeuble'!I19+'Saisie immeuble'!J19),0)</f>
        <v>0</v>
      </c>
      <c r="AO22" s="184">
        <f>IF('Saisie immeuble'!I19+'Saisie immeuble'!J19&gt;0,Feuil1!$AO$13+3*('Saisie immeuble'!I19+'Saisie immeuble'!J19-1),0)</f>
        <v>0</v>
      </c>
      <c r="AP22" s="184">
        <f>IF('Saisie immeuble'!I19+'Saisie immeuble'!J19&gt;0,Feuil1!$AP$13+2*('Saisie immeuble'!I19+'Saisie immeuble'!J19-1),0)</f>
        <v>0</v>
      </c>
      <c r="AQ22" s="184">
        <f>IF('Saisie immeuble'!I19+'Saisie immeuble'!J19&gt;0,Feuil1!$AQ$13*('Saisie immeuble'!I19+'Saisie immeuble'!J19),0)</f>
        <v>0</v>
      </c>
      <c r="AR22" s="184">
        <f t="shared" si="8"/>
        <v>0</v>
      </c>
      <c r="AS22" s="224" t="e">
        <f>AR22*'Saisie immeuble'!$F$8+IF(AND(R22&lt;&gt;"gaz",(S22="gaz")),AA22,0)</f>
        <v>#N/A</v>
      </c>
      <c r="AT22" s="228">
        <f>IF('Saisie immeuble'!I19+'Saisie immeuble'!J19&gt;0,1100+700*('Saisie immeuble'!I19+'Saisie immeuble'!J19-1),0)</f>
        <v>0</v>
      </c>
      <c r="AU22" s="235" t="e">
        <f>IF(AW22="élec",Feuil1!V22,IF(AW22="gaz",Feuil1!AB22,IF(AW22="fioul",'Référence&amp;tarifs'!$B$25,IF(AW22="bois",('Référence&amp;tarifs'!$B$23+'Référence&amp;tarifs'!$B$24)/2,0))))</f>
        <v>#N/A</v>
      </c>
      <c r="AV22" s="184" t="e">
        <f>VLOOKUP('Saisie immeuble'!F19,Feuil1!$Q$57:$U$70,4,0)</f>
        <v>#N/A</v>
      </c>
      <c r="AW22" s="184" t="e">
        <f>VLOOKUP('Saisie immeuble'!F19,Feuil1!$Q$57:$U$70,5,0)</f>
        <v>#N/A</v>
      </c>
      <c r="AX22" s="233" t="e">
        <f t="shared" si="12"/>
        <v>#N/A</v>
      </c>
    </row>
    <row r="23" spans="2:50" x14ac:dyDescent="0.25">
      <c r="B23" s="228" t="s">
        <v>98</v>
      </c>
      <c r="C23" s="184">
        <f>IF('Saisie immeuble'!D20=Feuil1!$B$4,4,IF(AND('Saisie immeuble'!D20=$B$5,('Saisie immeuble'!$C$4=Feuil1!$C$5)),5,IF(AND('Saisie immeuble'!D20=$B$5,('Saisie immeuble'!$C$4=Feuil1!$C$6)),6,IF(AND('Saisie immeuble'!D20=Feuil1!$B$7,('Saisie immeuble'!$C$4=Feuil1!$C$7)),7,IF(AND('Saisie immeuble'!D20=Feuil1!$B$7,('Saisie immeuble'!$C$4=Feuil1!$C$8)),8,0)))))</f>
        <v>0</v>
      </c>
      <c r="D23" s="223" t="e">
        <f>HLOOKUP('Saisie immeuble'!$C$3,Feuil1!$D$1:$BM$8,Feuil1!C23,0)</f>
        <v>#VALUE!</v>
      </c>
      <c r="E23" s="184">
        <f>HLOOKUP('Saisie immeuble'!$C$3,Feuil1!$D$1:$BM$8,3,0)</f>
        <v>3</v>
      </c>
      <c r="F23" s="184">
        <f>IF(E23=1,450+'Saisie immeuble'!C20*6,IF(E23=2,300+'Saisie immeuble'!C20*5,150+'Saisie immeuble'!C20*3))</f>
        <v>150</v>
      </c>
      <c r="G23" s="184">
        <f>IF(E23=1,1400+'Saisie immeuble'!C20*6,IF(E23=2,1100+'Saisie immeuble'!C20*6,500+'Saisie immeuble'!C20*6))</f>
        <v>500</v>
      </c>
      <c r="H23" s="223">
        <f>IF('Saisie immeuble'!$C$6="oui",IF('Saisie immeuble'!D20="dernier étage",IF(Feuil1!E23=1,0.4*Feuil1!D23,IF(Feuil1!E23=2,0.35*Feuil1!D23,IF(Feuil1!E23=3,0.3*Feuil1!D23,0))),0),0)</f>
        <v>0</v>
      </c>
      <c r="I23" s="223" t="e">
        <f>IF('Saisie immeuble'!$C$7="oui",IF(AND(Feuil1!E23=1,('Saisie immeuble'!$C$4=Feuil1!$C$5)),0.3*Feuil1!D23,IF(AND(Feuil1!E23=1,('Saisie immeuble'!$C$4=Feuil1!$C$6)),0.2*Feuil1!D23,IF(AND(Feuil1!E23=2,('Saisie immeuble'!$C$4=Feuil1!$C$5)),0.25*Feuil1!D23,IF(AND(Feuil1!E23=2,('Saisie immeuble'!$C$4=Feuil1!$C$6)),0.15*Feuil1!D23,IF(AND(Feuil1!E23=3,('Saisie immeuble'!$C$4=Feuil1!$C$5)),0.2*Feuil1!D23,IF(AND(Feuil1!E23=3,('Saisie immeuble'!$C$4=Feuil1!$C$6)),0.12*Feuil1!D23)))))),0)</f>
        <v>#VALUE!</v>
      </c>
      <c r="J23" s="223" t="e">
        <f>IF('Saisie immeuble'!$C$8="oui",IF(AND(Feuil1!E23=1,('Saisie immeuble'!$C$4=Feuil1!$C$5)),0.22*Feuil1!D23,IF(AND(Feuil1!E23=1,('Saisie immeuble'!$C$4=Feuil1!$C$6)),0.14*Feuil1!D23,IF(AND(Feuil1!E23=2,('Saisie immeuble'!$C$4=Feuil1!$C$5)),0.2*Feuil1!D23,IF(AND(Feuil1!E23=2,('Saisie immeuble'!$C$4=Feuil1!$C$6)),0.12*Feuil1!D23,IF(AND(Feuil1!E23=3,('Saisie immeuble'!$C$4=Feuil1!$C$5)),0.16*Feuil1!D23,IF(AND(Feuil1!E23=3,('Saisie immeuble'!$C$4=Feuil1!$C$6)),0.1*Feuil1!D23)))))),0)</f>
        <v>#VALUE!</v>
      </c>
      <c r="K23" s="223">
        <f>IF('Saisie immeuble'!$F$7="oui",IF('Saisie immeuble'!D20="rez de chaussée",IF(Feuil1!E23=1,0.2*Feuil1!D23,IF(Feuil1!E23=2,0.16*Feuil1!D23,IF(Feuil1!E23=3,0.12*Feuil1!D23,0))),0),0)</f>
        <v>0</v>
      </c>
      <c r="L23" s="184">
        <f>IF('Saisie immeuble'!C20&gt;0,IF('Saisie immeuble'!C20&gt;57,('Saisie immeuble'!C20-57)*55,('Saisie immeuble'!C20-57)*35),0)</f>
        <v>0</v>
      </c>
      <c r="M23" s="184">
        <f>IF('Saisie immeuble'!C20&gt;0,IF('Saisie immeuble'!$H$7=Feuil1!$B$78,IF(Feuil1!E23=1,700,IF(Feuil1!E23=2,550,400)),IF('Saisie immeuble'!$H$7=Feuil1!$B$79,IF(Feuil1!E23=1,350,IF(Feuil1!E23=2,275,200)),0))*(1-((57-'Saisie immeuble'!C20)/100)),0)</f>
        <v>0</v>
      </c>
      <c r="N23" s="223" t="e">
        <f>D23-IF('Saisie immeuble'!G20=Feuil1!$B$68,Feuil1!F23,IF('Saisie immeuble'!G20=Feuil1!$B$69,G23,0))-H23-I23-J23+L23-K23+M23</f>
        <v>#VALUE!</v>
      </c>
      <c r="O23" s="223" t="e">
        <f t="shared" si="9"/>
        <v>#VALUE!</v>
      </c>
      <c r="P23" s="223" t="e">
        <f>IF('Saisie immeuble'!$C$5="individuel",N23/AJ23,O23/AJ23)</f>
        <v>#VALUE!</v>
      </c>
      <c r="Q23" s="224" t="e">
        <f t="shared" si="10"/>
        <v>#VALUE!</v>
      </c>
      <c r="R23" s="228" t="e">
        <f>VLOOKUP('Saisie immeuble'!E20,Feuil1!$G$58:$I$75,3,0)</f>
        <v>#N/A</v>
      </c>
      <c r="S23" s="184" t="e">
        <f>VLOOKUP('Saisie immeuble'!F20,Feuil1!$Q$57:$U$70,5,0)</f>
        <v>#N/A</v>
      </c>
      <c r="T23" s="184" t="e">
        <f>IF(AND(R23&lt;&gt;"élec",(S23&lt;&gt;"élec"),('Saisie immeuble'!C20&lt;40)),'Référence&amp;tarifs'!$A$6,IF(AND(R23="élec",(S23="élec")),'Référence&amp;tarifs'!$A$8,'Référence&amp;tarifs'!$A$7))</f>
        <v>#N/A</v>
      </c>
      <c r="U23" s="184" t="e">
        <f>VLOOKUP(T23,'Référence&amp;tarifs'!$A$6:$C$10,2,0)</f>
        <v>#N/A</v>
      </c>
      <c r="V23" s="184" t="e">
        <f>VLOOKUP(T23,'Référence&amp;tarifs'!$A$6:$C$10,3,0)</f>
        <v>#N/A</v>
      </c>
      <c r="W23" s="184"/>
      <c r="X23" s="236" t="e">
        <f>IF('Résultat immeuble'!N14&lt;1.1,HLOOKUP(Feuil1!T23,'Référence&amp;tarifs'!#REF!,2,0),IF('Résultat immeuble'!N14&gt;1.9,HLOOKUP(Feuil1!T23,'Référence&amp;tarifs'!#REF!,4,0),HLOOKUP(Feuil1!T23,'Référence&amp;tarifs'!#REF!,3,0)))</f>
        <v>#N/A</v>
      </c>
      <c r="Y23" s="228" t="e">
        <f>IF(R23="gaz",N23,0)+IF(S23="gaz",AT23,0)+IF('Saisie immeuble'!H20="gaz de ville",Feuil1!AH23,0)</f>
        <v>#N/A</v>
      </c>
      <c r="Z23" s="184" t="e">
        <f>IF(Y23&lt;1000,'Référence&amp;tarifs'!$A$16,IF(Y23&gt;5999,'Référence&amp;tarifs'!$A$18,'Référence&amp;tarifs'!$A$17))</f>
        <v>#N/A</v>
      </c>
      <c r="AA23" s="184" t="e">
        <f>VLOOKUP(Z23,'Référence&amp;tarifs'!$A$16:$C$18,2,0)</f>
        <v>#N/A</v>
      </c>
      <c r="AB23" s="184" t="e">
        <f>VLOOKUP(Z23,'Référence&amp;tarifs'!$A$16:$C$18,3,0)</f>
        <v>#N/A</v>
      </c>
      <c r="AC23" s="229" t="e">
        <f>IF('Saisie immeuble'!$C$5="individuel",IF('Résultat immeuble'!N14=1,HLOOKUP(Feuil1!Z23,'Référence&amp;tarifs'!#REF!,2,0),IF('Résultat immeuble'!N14&gt;1.9,HLOOKUP(Feuil1!Z23,'Référence&amp;tarifs'!#REF!,4,0),HLOOKUP(Feuil1!Z23,'Référence&amp;tarifs'!#REF!,3,0))),IF('Saisie immeuble'!$C$5="collectif",IF('Résultat immeuble'!N14=1,'Référence&amp;tarifs'!#REF!,IF('Résultat immeuble'!N14&gt;1.9,'Référence&amp;tarifs'!#REF!,IF(AND('Résultat immeuble'!N14&lt;2,('Résultat immeuble'!N14&gt;1)),'Référence&amp;tarifs'!#REF!,0)))))</f>
        <v>#N/A</v>
      </c>
      <c r="AD23" s="230">
        <f>IF('Saisie immeuble'!I20+'Saisie immeuble'!J20&gt;0,18*'Saisie immeuble'!C20+3.5*('Saisie immeuble'!I20+'Saisie immeuble'!J20-1)*'Saisie immeuble'!C20,0)</f>
        <v>0</v>
      </c>
      <c r="AE23" s="231"/>
      <c r="AF23" s="232"/>
      <c r="AG23" s="233" t="e">
        <f t="shared" si="11"/>
        <v>#N/A</v>
      </c>
      <c r="AH23" s="228">
        <f>IF('Saisie immeuble'!I20+'Saisie immeuble'!J20&gt;0,350+80*('Saisie immeuble'!I20+'Saisie immeuble'!J20-1),0)</f>
        <v>0</v>
      </c>
      <c r="AI23" s="233" t="e">
        <f>IF('Saisie immeuble'!H20="gaz de ville",Feuil1!AB23,IF('Saisie immeuble'!H20=$B$72,V23,0))*Feuil1!AH23+IF(AND(R23&lt;&gt;"gaz",(S23&lt;&gt;"gaz"),('Saisie immeuble'!H20="gaz de ville")),Feuil1!AA23,0)</f>
        <v>#N/A</v>
      </c>
      <c r="AJ23" s="228" t="e">
        <f>VLOOKUP('Saisie immeuble'!E20,Feuil1!$G$58:$I$75,2,0)</f>
        <v>#N/A</v>
      </c>
      <c r="AK23" s="184" t="e">
        <f>VLOOKUP('Saisie immeuble'!E20,Feuil1!$G$58:$I$75,3,0)</f>
        <v>#N/A</v>
      </c>
      <c r="AL23" s="234" t="e">
        <f>IF(AK23="élec",V23,IF(AK23="gaz",AB23,IF(AK23="fioul",'Référence&amp;tarifs'!$B$25,IF(AK23="bois buche",'Référence&amp;tarifs'!$B$23,IF(AK23="bois granulés",'Référence&amp;tarifs'!$B$24,IF(AK23=I67,0.8*('Référence&amp;tarifs'!$B$23+'Référence&amp;tarifs'!B25)/2+0.2*Feuil1!AB23,0))))))</f>
        <v>#N/A</v>
      </c>
      <c r="AM23" s="228">
        <f>IF('Saisie immeuble'!I20+'Saisie immeuble'!J20&gt;0,Feuil1!$AM$13+2*('Saisie immeuble'!I20+'Saisie immeuble'!J20-1),0)</f>
        <v>0</v>
      </c>
      <c r="AN23" s="184">
        <f>IF('Saisie immeuble'!I20+'Saisie immeuble'!J20&gt;0,Feuil1!$AN$13*('Saisie immeuble'!I20+'Saisie immeuble'!J20),0)</f>
        <v>0</v>
      </c>
      <c r="AO23" s="184">
        <f>IF('Saisie immeuble'!I20+'Saisie immeuble'!J20&gt;0,Feuil1!$AO$13+3*('Saisie immeuble'!I20+'Saisie immeuble'!J20-1),0)</f>
        <v>0</v>
      </c>
      <c r="AP23" s="184">
        <f>IF('Saisie immeuble'!I20+'Saisie immeuble'!J20&gt;0,Feuil1!$AP$13+2*('Saisie immeuble'!I20+'Saisie immeuble'!J20-1),0)</f>
        <v>0</v>
      </c>
      <c r="AQ23" s="184">
        <f>IF('Saisie immeuble'!I20+'Saisie immeuble'!J20&gt;0,Feuil1!$AQ$13*('Saisie immeuble'!I20+'Saisie immeuble'!J20),0)</f>
        <v>0</v>
      </c>
      <c r="AR23" s="184">
        <f t="shared" si="8"/>
        <v>0</v>
      </c>
      <c r="AS23" s="224" t="e">
        <f>AR23*'Saisie immeuble'!$F$8+IF(AND(R23&lt;&gt;"gaz",(S23="gaz")),AA23,0)</f>
        <v>#N/A</v>
      </c>
      <c r="AT23" s="228">
        <f>IF('Saisie immeuble'!I20+'Saisie immeuble'!J20&gt;0,1100+700*('Saisie immeuble'!I20+'Saisie immeuble'!J20-1),0)</f>
        <v>0</v>
      </c>
      <c r="AU23" s="235" t="e">
        <f>IF(AW23="élec",Feuil1!V23,IF(AW23="gaz",Feuil1!AB23,IF(AW23="fioul",'Référence&amp;tarifs'!$B$25,IF(AW23="bois",('Référence&amp;tarifs'!$B$23+'Référence&amp;tarifs'!$B$24)/2,0))))</f>
        <v>#N/A</v>
      </c>
      <c r="AV23" s="184" t="e">
        <f>VLOOKUP('Saisie immeuble'!F20,Feuil1!$Q$57:$U$70,4,0)</f>
        <v>#N/A</v>
      </c>
      <c r="AW23" s="184" t="e">
        <f>VLOOKUP('Saisie immeuble'!F20,Feuil1!$Q$57:$U$70,5,0)</f>
        <v>#N/A</v>
      </c>
      <c r="AX23" s="233" t="e">
        <f t="shared" si="12"/>
        <v>#N/A</v>
      </c>
    </row>
    <row r="24" spans="2:50" x14ac:dyDescent="0.25">
      <c r="B24" s="228" t="s">
        <v>99</v>
      </c>
      <c r="C24" s="184">
        <f>IF('Saisie immeuble'!D21=Feuil1!$B$4,4,IF(AND('Saisie immeuble'!D21=$B$5,('Saisie immeuble'!$C$4=Feuil1!$C$5)),5,IF(AND('Saisie immeuble'!D21=$B$5,('Saisie immeuble'!$C$4=Feuil1!$C$6)),6,IF(AND('Saisie immeuble'!D21=Feuil1!$B$7,('Saisie immeuble'!$C$4=Feuil1!$C$7)),7,IF(AND('Saisie immeuble'!D21=Feuil1!$B$7,('Saisie immeuble'!$C$4=Feuil1!$C$8)),8,0)))))</f>
        <v>0</v>
      </c>
      <c r="D24" s="223" t="e">
        <f>HLOOKUP('Saisie immeuble'!$C$3,Feuil1!$D$1:$BM$8,Feuil1!C24,0)</f>
        <v>#VALUE!</v>
      </c>
      <c r="E24" s="184">
        <f>HLOOKUP('Saisie immeuble'!$C$3,Feuil1!$D$1:$BM$8,3,0)</f>
        <v>3</v>
      </c>
      <c r="F24" s="184">
        <f>IF(E24=1,450+'Saisie immeuble'!C21*6,IF(E24=2,300+'Saisie immeuble'!C21*5,150+'Saisie immeuble'!C21*3))</f>
        <v>150</v>
      </c>
      <c r="G24" s="184">
        <f>IF(E24=1,1400+'Saisie immeuble'!C21*6,IF(E24=2,1100+'Saisie immeuble'!C21*6,500+'Saisie immeuble'!C21*6))</f>
        <v>500</v>
      </c>
      <c r="H24" s="223">
        <f>IF('Saisie immeuble'!$C$6="oui",IF('Saisie immeuble'!D21="dernier étage",IF(Feuil1!E24=1,0.4*Feuil1!D24,IF(Feuil1!E24=2,0.35*Feuil1!D24,IF(Feuil1!E24=3,0.3*Feuil1!D24,0))),0),0)</f>
        <v>0</v>
      </c>
      <c r="I24" s="223" t="e">
        <f>IF('Saisie immeuble'!$C$7="oui",IF(AND(Feuil1!E24=1,('Saisie immeuble'!$C$4=Feuil1!$C$5)),0.3*Feuil1!D24,IF(AND(Feuil1!E24=1,('Saisie immeuble'!$C$4=Feuil1!$C$6)),0.2*Feuil1!D24,IF(AND(Feuil1!E24=2,('Saisie immeuble'!$C$4=Feuil1!$C$5)),0.25*Feuil1!D24,IF(AND(Feuil1!E24=2,('Saisie immeuble'!$C$4=Feuil1!$C$6)),0.15*Feuil1!D24,IF(AND(Feuil1!E24=3,('Saisie immeuble'!$C$4=Feuil1!$C$5)),0.2*Feuil1!D24,IF(AND(Feuil1!E24=3,('Saisie immeuble'!$C$4=Feuil1!$C$6)),0.12*Feuil1!D24)))))),0)</f>
        <v>#VALUE!</v>
      </c>
      <c r="J24" s="223" t="e">
        <f>IF('Saisie immeuble'!$C$8="oui",IF(AND(Feuil1!E24=1,('Saisie immeuble'!$C$4=Feuil1!$C$5)),0.22*Feuil1!D24,IF(AND(Feuil1!E24=1,('Saisie immeuble'!$C$4=Feuil1!$C$6)),0.14*Feuil1!D24,IF(AND(Feuil1!E24=2,('Saisie immeuble'!$C$4=Feuil1!$C$5)),0.2*Feuil1!D24,IF(AND(Feuil1!E24=2,('Saisie immeuble'!$C$4=Feuil1!$C$6)),0.12*Feuil1!D24,IF(AND(Feuil1!E24=3,('Saisie immeuble'!$C$4=Feuil1!$C$5)),0.16*Feuil1!D24,IF(AND(Feuil1!E24=3,('Saisie immeuble'!$C$4=Feuil1!$C$6)),0.1*Feuil1!D24)))))),0)</f>
        <v>#VALUE!</v>
      </c>
      <c r="K24" s="223">
        <f>IF('Saisie immeuble'!$F$7="oui",IF('Saisie immeuble'!D21="rez de chaussée",IF(Feuil1!E24=1,0.2*Feuil1!D24,IF(Feuil1!E24=2,0.16*Feuil1!D24,IF(Feuil1!E24=3,0.12*Feuil1!D24,0))),0),0)</f>
        <v>0</v>
      </c>
      <c r="L24" s="184">
        <f>IF('Saisie immeuble'!C21&gt;0,IF('Saisie immeuble'!C21&gt;57,('Saisie immeuble'!C21-57)*55,('Saisie immeuble'!C21-57)*35),0)</f>
        <v>0</v>
      </c>
      <c r="M24" s="184">
        <f>IF('Saisie immeuble'!C21&gt;0,IF('Saisie immeuble'!$H$7=Feuil1!$B$78,IF(Feuil1!E24=1,700,IF(Feuil1!E24=2,550,400)),IF('Saisie immeuble'!$H$7=Feuil1!$B$79,IF(Feuil1!E24=1,350,IF(Feuil1!E24=2,275,200)),0))*(1-((57-'Saisie immeuble'!C21)/100)),0)</f>
        <v>0</v>
      </c>
      <c r="N24" s="223" t="e">
        <f>D24-IF('Saisie immeuble'!G21=Feuil1!$B$68,Feuil1!F24,IF('Saisie immeuble'!G21=Feuil1!$B$69,G24,0))-H24-I24-J24+L24-K24+M24</f>
        <v>#VALUE!</v>
      </c>
      <c r="O24" s="223" t="e">
        <f t="shared" si="9"/>
        <v>#VALUE!</v>
      </c>
      <c r="P24" s="223" t="e">
        <f>IF('Saisie immeuble'!$C$5="individuel",N24/AJ24,O24/AJ24)</f>
        <v>#VALUE!</v>
      </c>
      <c r="Q24" s="224" t="e">
        <f t="shared" si="10"/>
        <v>#VALUE!</v>
      </c>
      <c r="R24" s="228" t="e">
        <f>VLOOKUP('Saisie immeuble'!#REF!,Feuil1!$G$58:$I$75,3,0)</f>
        <v>#REF!</v>
      </c>
      <c r="S24" s="184" t="e">
        <f>VLOOKUP('Saisie immeuble'!E21,Feuil1!$Q$57:$U$70,5,0)</f>
        <v>#N/A</v>
      </c>
      <c r="T24" s="184" t="e">
        <f>IF(AND(R24&lt;&gt;"élec",(S24&lt;&gt;"élec"),('Saisie immeuble'!C21&lt;40)),'Référence&amp;tarifs'!$A$6,IF(AND(R24="élec",(S24="élec")),'Référence&amp;tarifs'!$A$8,'Référence&amp;tarifs'!$A$7))</f>
        <v>#REF!</v>
      </c>
      <c r="U24" s="184" t="e">
        <f>VLOOKUP(T24,'Référence&amp;tarifs'!$A$6:$C$10,2,0)</f>
        <v>#REF!</v>
      </c>
      <c r="V24" s="184" t="e">
        <f>VLOOKUP(T24,'Référence&amp;tarifs'!$A$6:$C$10,3,0)</f>
        <v>#REF!</v>
      </c>
      <c r="W24" s="184"/>
      <c r="X24" s="236" t="e">
        <f>IF('Résultat immeuble'!#REF!&lt;1.1,HLOOKUP(Feuil1!T24,'Référence&amp;tarifs'!#REF!,2,0),IF('Résultat immeuble'!#REF!&gt;1.9,HLOOKUP(Feuil1!T24,'Référence&amp;tarifs'!#REF!,4,0),HLOOKUP(Feuil1!T24,'Référence&amp;tarifs'!#REF!,3,0)))</f>
        <v>#REF!</v>
      </c>
      <c r="Y24" s="228" t="e">
        <f>IF(R24="gaz",N24,0)+IF(S24="gaz",AT24,0)+IF('Saisie immeuble'!H21="gaz de ville",Feuil1!AH24,0)</f>
        <v>#REF!</v>
      </c>
      <c r="Z24" s="184" t="e">
        <f>IF(Y24&lt;1000,'Référence&amp;tarifs'!$A$16,IF(Y24&gt;5999,'Référence&amp;tarifs'!$A$18,'Référence&amp;tarifs'!$A$17))</f>
        <v>#REF!</v>
      </c>
      <c r="AA24" s="184" t="e">
        <f>VLOOKUP(Z24,'Référence&amp;tarifs'!$A$16:$C$18,2,0)</f>
        <v>#REF!</v>
      </c>
      <c r="AB24" s="184" t="e">
        <f>VLOOKUP(Z24,'Référence&amp;tarifs'!$A$16:$C$18,3,0)</f>
        <v>#REF!</v>
      </c>
      <c r="AC24" s="229" t="e">
        <f>IF('Saisie immeuble'!$C$5="individuel",IF('Résultat immeuble'!#REF!=1,HLOOKUP(Feuil1!Z24,'Référence&amp;tarifs'!#REF!,2,0),IF('Résultat immeuble'!#REF!&gt;1.9,HLOOKUP(Feuil1!Z24,'Référence&amp;tarifs'!#REF!,4,0),HLOOKUP(Feuil1!Z24,'Référence&amp;tarifs'!#REF!,3,0))),IF('Saisie immeuble'!$C$5="collectif",IF('Résultat immeuble'!#REF!=1,'Référence&amp;tarifs'!#REF!,IF('Résultat immeuble'!#REF!&gt;1.9,'Référence&amp;tarifs'!#REF!,IF(AND('Résultat immeuble'!#REF!&lt;2,('Résultat immeuble'!#REF!&gt;1)),'Référence&amp;tarifs'!#REF!,0)))))</f>
        <v>#REF!</v>
      </c>
      <c r="AD24" s="230">
        <f>IF('Saisie immeuble'!I21+'Saisie immeuble'!J21&gt;0,18*'Saisie immeuble'!C21+3.5*('Saisie immeuble'!I21+'Saisie immeuble'!J21-1)*'Saisie immeuble'!C21,0)</f>
        <v>0</v>
      </c>
      <c r="AE24" s="231"/>
      <c r="AF24" s="232"/>
      <c r="AG24" s="233" t="e">
        <f t="shared" si="11"/>
        <v>#REF!</v>
      </c>
      <c r="AH24" s="228">
        <f>IF('Saisie immeuble'!I21+'Saisie immeuble'!J21&gt;0,350+80*('Saisie immeuble'!I21+'Saisie immeuble'!J21-1),0)</f>
        <v>0</v>
      </c>
      <c r="AI24" s="233" t="e">
        <f>IF('Saisie immeuble'!H21="gaz de ville",Feuil1!AB24,IF('Saisie immeuble'!H21=$B$72,V24,0))*Feuil1!AH24+IF(AND(R24&lt;&gt;"gaz",(S24&lt;&gt;"gaz"),('Saisie immeuble'!H21="gaz de ville")),Feuil1!AA24,0)</f>
        <v>#REF!</v>
      </c>
      <c r="AJ24" s="228" t="e">
        <f>VLOOKUP('Saisie immeuble'!#REF!,Feuil1!$G$58:$I$75,2,0)</f>
        <v>#REF!</v>
      </c>
      <c r="AK24" s="184" t="e">
        <f>VLOOKUP('Saisie immeuble'!#REF!,Feuil1!$G$58:$I$75,3,0)</f>
        <v>#REF!</v>
      </c>
      <c r="AL24" s="234" t="e">
        <f>IF(AK24="élec",V24,IF(AK24="gaz",AB24,IF(AK24="fioul",'Référence&amp;tarifs'!$B$25,IF(AK24="bois buche",'Référence&amp;tarifs'!$B$23,IF(AK24="bois granulés",'Référence&amp;tarifs'!$B$24,IF(AK24=I68,0.8*('Référence&amp;tarifs'!$B$23+'Référence&amp;tarifs'!B26)/2+0.2*Feuil1!AB24,0))))))</f>
        <v>#REF!</v>
      </c>
      <c r="AM24" s="228">
        <f>IF('Saisie immeuble'!I21+'Saisie immeuble'!J21&gt;0,Feuil1!$AM$13+2*('Saisie immeuble'!I21+'Saisie immeuble'!J21-1),0)</f>
        <v>0</v>
      </c>
      <c r="AN24" s="184">
        <f>IF('Saisie immeuble'!I21+'Saisie immeuble'!J21&gt;0,Feuil1!$AN$13*('Saisie immeuble'!I21+'Saisie immeuble'!J21),0)</f>
        <v>0</v>
      </c>
      <c r="AO24" s="184">
        <f>IF('Saisie immeuble'!I21+'Saisie immeuble'!J21&gt;0,Feuil1!$AO$13+3*('Saisie immeuble'!I21+'Saisie immeuble'!J21-1),0)</f>
        <v>0</v>
      </c>
      <c r="AP24" s="184">
        <f>IF('Saisie immeuble'!I21+'Saisie immeuble'!J21&gt;0,Feuil1!$AP$13+2*('Saisie immeuble'!I21+'Saisie immeuble'!J21-1),0)</f>
        <v>0</v>
      </c>
      <c r="AQ24" s="184">
        <f>IF('Saisie immeuble'!I21+'Saisie immeuble'!J21&gt;0,Feuil1!$AQ$13*('Saisie immeuble'!I21+'Saisie immeuble'!J21),0)</f>
        <v>0</v>
      </c>
      <c r="AR24" s="184">
        <f t="shared" si="8"/>
        <v>0</v>
      </c>
      <c r="AS24" s="224" t="e">
        <f>AR24*'Saisie immeuble'!$F$8+IF(AND(R24&lt;&gt;"gaz",(S24="gaz")),AA24,0)</f>
        <v>#REF!</v>
      </c>
      <c r="AT24" s="228">
        <f>IF('Saisie immeuble'!I21+'Saisie immeuble'!J21&gt;0,1100+700*('Saisie immeuble'!I21+'Saisie immeuble'!J21-1),0)</f>
        <v>0</v>
      </c>
      <c r="AU24" s="235" t="e">
        <f>IF(AW24="élec",Feuil1!V24,IF(AW24="gaz",Feuil1!AB24,IF(AW24="fioul",'Référence&amp;tarifs'!$B$25,IF(AW24="bois",('Référence&amp;tarifs'!$B$23+'Référence&amp;tarifs'!$B$24)/2,0))))</f>
        <v>#N/A</v>
      </c>
      <c r="AV24" s="184" t="e">
        <f>VLOOKUP('Saisie immeuble'!E21,Feuil1!$Q$57:$U$70,4,0)</f>
        <v>#N/A</v>
      </c>
      <c r="AW24" s="184" t="e">
        <f>VLOOKUP('Saisie immeuble'!E21,Feuil1!$Q$57:$U$70,5,0)</f>
        <v>#N/A</v>
      </c>
      <c r="AX24" s="233" t="e">
        <f t="shared" si="12"/>
        <v>#N/A</v>
      </c>
    </row>
    <row r="25" spans="2:50" x14ac:dyDescent="0.25">
      <c r="B25" s="228" t="s">
        <v>100</v>
      </c>
      <c r="C25" s="184">
        <f>IF('Saisie immeuble'!D22=Feuil1!$B$4,4,IF(AND('Saisie immeuble'!D22=$B$5,('Saisie immeuble'!$C$4=Feuil1!$C$5)),5,IF(AND('Saisie immeuble'!D22=$B$5,('Saisie immeuble'!$C$4=Feuil1!$C$6)),6,IF(AND('Saisie immeuble'!D22=Feuil1!$B$7,('Saisie immeuble'!$C$4=Feuil1!$C$7)),7,IF(AND('Saisie immeuble'!D22=Feuil1!$B$7,('Saisie immeuble'!$C$4=Feuil1!$C$8)),8,0)))))</f>
        <v>0</v>
      </c>
      <c r="D25" s="223" t="e">
        <f>HLOOKUP('Saisie immeuble'!$C$3,Feuil1!$D$1:$BM$8,Feuil1!C25,0)</f>
        <v>#VALUE!</v>
      </c>
      <c r="E25" s="184">
        <f>HLOOKUP('Saisie immeuble'!$C$3,Feuil1!$D$1:$BM$8,3,0)</f>
        <v>3</v>
      </c>
      <c r="F25" s="184">
        <f>IF(E25=1,450+'Saisie immeuble'!C22*6,IF(E25=2,300+'Saisie immeuble'!C22*5,150+'Saisie immeuble'!C22*3))</f>
        <v>150</v>
      </c>
      <c r="G25" s="184">
        <f>IF(E25=1,1400+'Saisie immeuble'!C22*6,IF(E25=2,1100+'Saisie immeuble'!C22*6,500+'Saisie immeuble'!C22*6))</f>
        <v>500</v>
      </c>
      <c r="H25" s="223">
        <f>IF('Saisie immeuble'!$C$6="oui",IF('Saisie immeuble'!D22="dernier étage",IF(Feuil1!E25=1,0.4*Feuil1!D25,IF(Feuil1!E25=2,0.35*Feuil1!D25,IF(Feuil1!E25=3,0.3*Feuil1!D25,0))),0),0)</f>
        <v>0</v>
      </c>
      <c r="I25" s="223" t="e">
        <f>IF('Saisie immeuble'!$C$7="oui",IF(AND(Feuil1!E25=1,('Saisie immeuble'!$C$4=Feuil1!$C$5)),0.3*Feuil1!D25,IF(AND(Feuil1!E25=1,('Saisie immeuble'!$C$4=Feuil1!$C$6)),0.2*Feuil1!D25,IF(AND(Feuil1!E25=2,('Saisie immeuble'!$C$4=Feuil1!$C$5)),0.25*Feuil1!D25,IF(AND(Feuil1!E25=2,('Saisie immeuble'!$C$4=Feuil1!$C$6)),0.15*Feuil1!D25,IF(AND(Feuil1!E25=3,('Saisie immeuble'!$C$4=Feuil1!$C$5)),0.2*Feuil1!D25,IF(AND(Feuil1!E25=3,('Saisie immeuble'!$C$4=Feuil1!$C$6)),0.12*Feuil1!D25)))))),0)</f>
        <v>#VALUE!</v>
      </c>
      <c r="J25" s="223" t="e">
        <f>IF('Saisie immeuble'!$C$8="oui",IF(AND(Feuil1!E25=1,('Saisie immeuble'!$C$4=Feuil1!$C$5)),0.22*Feuil1!D25,IF(AND(Feuil1!E25=1,('Saisie immeuble'!$C$4=Feuil1!$C$6)),0.14*Feuil1!D25,IF(AND(Feuil1!E25=2,('Saisie immeuble'!$C$4=Feuil1!$C$5)),0.2*Feuil1!D25,IF(AND(Feuil1!E25=2,('Saisie immeuble'!$C$4=Feuil1!$C$6)),0.12*Feuil1!D25,IF(AND(Feuil1!E25=3,('Saisie immeuble'!$C$4=Feuil1!$C$5)),0.16*Feuil1!D25,IF(AND(Feuil1!E25=3,('Saisie immeuble'!$C$4=Feuil1!$C$6)),0.1*Feuil1!D25)))))),0)</f>
        <v>#VALUE!</v>
      </c>
      <c r="K25" s="223">
        <f>IF('Saisie immeuble'!$F$7="oui",IF('Saisie immeuble'!D22="rez de chaussée",IF(Feuil1!E25=1,0.2*Feuil1!D25,IF(Feuil1!E25=2,0.16*Feuil1!D25,IF(Feuil1!E25=3,0.12*Feuil1!D25,0))),0),0)</f>
        <v>0</v>
      </c>
      <c r="L25" s="184">
        <f>IF('Saisie immeuble'!C22&gt;0,IF('Saisie immeuble'!C22&gt;57,('Saisie immeuble'!C22-57)*55,('Saisie immeuble'!C22-57)*35),0)</f>
        <v>0</v>
      </c>
      <c r="M25" s="184">
        <f>IF('Saisie immeuble'!C22&gt;0,IF('Saisie immeuble'!$H$7=Feuil1!$B$78,IF(Feuil1!E25=1,700,IF(Feuil1!E25=2,550,400)),IF('Saisie immeuble'!$H$7=Feuil1!$B$79,IF(Feuil1!E25=1,350,IF(Feuil1!E25=2,275,200)),0))*(1-((57-'Saisie immeuble'!C22)/100)),0)</f>
        <v>0</v>
      </c>
      <c r="N25" s="223" t="e">
        <f>D25-IF('Saisie immeuble'!G22=Feuil1!$B$68,Feuil1!F25,IF('Saisie immeuble'!G22=Feuil1!$B$69,G25,0))-H25-I25-J25+L25-K25+M25</f>
        <v>#VALUE!</v>
      </c>
      <c r="O25" s="223" t="e">
        <f t="shared" si="9"/>
        <v>#VALUE!</v>
      </c>
      <c r="P25" s="223" t="e">
        <f>IF('Saisie immeuble'!$C$5="individuel",N25/AJ25,O25/AJ25)</f>
        <v>#VALUE!</v>
      </c>
      <c r="Q25" s="224" t="e">
        <f t="shared" si="10"/>
        <v>#VALUE!</v>
      </c>
      <c r="R25" s="228" t="e">
        <f>VLOOKUP('Saisie immeuble'!#REF!,Feuil1!$G$58:$I$75,3,0)</f>
        <v>#REF!</v>
      </c>
      <c r="S25" s="184" t="e">
        <f>VLOOKUP('Saisie immeuble'!E22,Feuil1!$Q$57:$U$70,5,0)</f>
        <v>#N/A</v>
      </c>
      <c r="T25" s="184" t="e">
        <f>IF(AND(R25&lt;&gt;"élec",(S25&lt;&gt;"élec"),('Saisie immeuble'!C22&lt;40)),'Référence&amp;tarifs'!$A$6,IF(AND(R25="élec",(S25="élec")),'Référence&amp;tarifs'!$A$8,'Référence&amp;tarifs'!$A$7))</f>
        <v>#REF!</v>
      </c>
      <c r="U25" s="184" t="e">
        <f>VLOOKUP(T25,'Référence&amp;tarifs'!$A$6:$C$10,2,0)</f>
        <v>#REF!</v>
      </c>
      <c r="V25" s="184" t="e">
        <f>VLOOKUP(T25,'Référence&amp;tarifs'!$A$6:$C$10,3,0)</f>
        <v>#REF!</v>
      </c>
      <c r="W25" s="184"/>
      <c r="X25" s="236" t="e">
        <f>IF('Résultat immeuble'!T15&lt;1.1,HLOOKUP(Feuil1!T25,'Référence&amp;tarifs'!#REF!,2,0),IF('Résultat immeuble'!T15&gt;1.9,HLOOKUP(Feuil1!T25,'Référence&amp;tarifs'!#REF!,4,0),HLOOKUP(Feuil1!T25,'Référence&amp;tarifs'!#REF!,3,0)))</f>
        <v>#REF!</v>
      </c>
      <c r="Y25" s="228" t="e">
        <f>IF(R25="gaz",N25,0)+IF(S25="gaz",AT25,0)+IF('Saisie immeuble'!H22="gaz de ville",Feuil1!AH25,0)</f>
        <v>#REF!</v>
      </c>
      <c r="Z25" s="184" t="e">
        <f>IF(Y25&lt;1000,'Référence&amp;tarifs'!$A$16,IF(Y25&gt;5999,'Référence&amp;tarifs'!$A$18,'Référence&amp;tarifs'!$A$17))</f>
        <v>#REF!</v>
      </c>
      <c r="AA25" s="184" t="e">
        <f>VLOOKUP(Z25,'Référence&amp;tarifs'!$A$16:$C$18,2,0)</f>
        <v>#REF!</v>
      </c>
      <c r="AB25" s="184" t="e">
        <f>VLOOKUP(Z25,'Référence&amp;tarifs'!$A$16:$C$18,3,0)</f>
        <v>#REF!</v>
      </c>
      <c r="AC25" s="229" t="e">
        <f>IF('Saisie immeuble'!$C$5="individuel",IF('Résultat immeuble'!T15=1,HLOOKUP(Feuil1!Z25,'Référence&amp;tarifs'!#REF!,2,0),IF('Résultat immeuble'!T15&gt;1.9,HLOOKUP(Feuil1!Z25,'Référence&amp;tarifs'!#REF!,4,0),HLOOKUP(Feuil1!Z25,'Référence&amp;tarifs'!#REF!,3,0))),IF('Saisie immeuble'!$C$5="collectif",IF('Résultat immeuble'!T15=1,'Référence&amp;tarifs'!#REF!,IF('Résultat immeuble'!T15&gt;1.9,'Référence&amp;tarifs'!#REF!,IF(AND('Résultat immeuble'!T15&lt;2,('Résultat immeuble'!T15&gt;1)),'Référence&amp;tarifs'!#REF!,0)))))</f>
        <v>#REF!</v>
      </c>
      <c r="AD25" s="230">
        <f>IF('Saisie immeuble'!I22+'Saisie immeuble'!J22&gt;0,18*'Saisie immeuble'!C22+3.5*('Saisie immeuble'!I22+'Saisie immeuble'!J22-1)*'Saisie immeuble'!C22,0)</f>
        <v>0</v>
      </c>
      <c r="AE25" s="231"/>
      <c r="AF25" s="232"/>
      <c r="AG25" s="233" t="e">
        <f t="shared" si="11"/>
        <v>#REF!</v>
      </c>
      <c r="AH25" s="228">
        <f>IF('Saisie immeuble'!I22+'Saisie immeuble'!J22&gt;0,350+80*('Saisie immeuble'!I22+'Saisie immeuble'!J22-1),0)</f>
        <v>0</v>
      </c>
      <c r="AI25" s="233" t="e">
        <f>IF('Saisie immeuble'!H22="gaz de ville",Feuil1!AB25,IF('Saisie immeuble'!H22=$B$72,V25,0))*Feuil1!AH25+IF(AND(R25&lt;&gt;"gaz",(S25&lt;&gt;"gaz"),('Saisie immeuble'!H22="gaz de ville")),Feuil1!AA25,0)</f>
        <v>#REF!</v>
      </c>
      <c r="AJ25" s="228" t="e">
        <f>VLOOKUP('Saisie immeuble'!#REF!,Feuil1!$G$58:$I$75,2,0)</f>
        <v>#REF!</v>
      </c>
      <c r="AK25" s="184" t="e">
        <f>VLOOKUP('Saisie immeuble'!#REF!,Feuil1!$G$58:$I$75,3,0)</f>
        <v>#REF!</v>
      </c>
      <c r="AL25" s="234" t="e">
        <f>IF(AK25="élec",V25,IF(AK25="gaz",AB25,IF(AK25="fioul",'Référence&amp;tarifs'!$B$25,IF(AK25="bois buche",'Référence&amp;tarifs'!$B$23,IF(AK25="bois granulés",'Référence&amp;tarifs'!$B$24,IF(AK25=I69,0.8*('Référence&amp;tarifs'!$B$23+'Référence&amp;tarifs'!B27)/2+0.2*Feuil1!AB25,0))))))</f>
        <v>#REF!</v>
      </c>
      <c r="AM25" s="228">
        <f>IF('Saisie immeuble'!I22+'Saisie immeuble'!J22&gt;0,Feuil1!$AM$13+2*('Saisie immeuble'!I22+'Saisie immeuble'!J22-1),0)</f>
        <v>0</v>
      </c>
      <c r="AN25" s="184">
        <f>IF('Saisie immeuble'!I22+'Saisie immeuble'!J22&gt;0,Feuil1!$AN$13*('Saisie immeuble'!I22+'Saisie immeuble'!J22),0)</f>
        <v>0</v>
      </c>
      <c r="AO25" s="184">
        <f>IF('Saisie immeuble'!I22+'Saisie immeuble'!J22&gt;0,Feuil1!$AO$13+3*('Saisie immeuble'!I22+'Saisie immeuble'!J22-1),0)</f>
        <v>0</v>
      </c>
      <c r="AP25" s="184">
        <f>IF('Saisie immeuble'!I22+'Saisie immeuble'!J22&gt;0,Feuil1!$AP$13+2*('Saisie immeuble'!I22+'Saisie immeuble'!J22-1),0)</f>
        <v>0</v>
      </c>
      <c r="AQ25" s="184">
        <f>IF('Saisie immeuble'!I22+'Saisie immeuble'!J22&gt;0,Feuil1!$AQ$13*('Saisie immeuble'!I22+'Saisie immeuble'!J22),0)</f>
        <v>0</v>
      </c>
      <c r="AR25" s="184">
        <f t="shared" si="8"/>
        <v>0</v>
      </c>
      <c r="AS25" s="224" t="e">
        <f>AR25*'Saisie immeuble'!$F$8+IF(AND(R25&lt;&gt;"gaz",(S25="gaz")),AA25,0)</f>
        <v>#REF!</v>
      </c>
      <c r="AT25" s="228">
        <f>IF('Saisie immeuble'!I22+'Saisie immeuble'!J22&gt;0,1100+700*('Saisie immeuble'!I22+'Saisie immeuble'!J22-1),0)</f>
        <v>0</v>
      </c>
      <c r="AU25" s="235" t="e">
        <f>IF(AW25="élec",Feuil1!V25,IF(AW25="gaz",Feuil1!AB25,IF(AW25="fioul",'Référence&amp;tarifs'!$B$25,IF(AW25="bois",('Référence&amp;tarifs'!$B$23+'Référence&amp;tarifs'!$B$24)/2,0))))</f>
        <v>#N/A</v>
      </c>
      <c r="AV25" s="184" t="e">
        <f>VLOOKUP('Saisie immeuble'!E22,Feuil1!$Q$57:$U$70,4,0)</f>
        <v>#N/A</v>
      </c>
      <c r="AW25" s="184" t="e">
        <f>VLOOKUP('Saisie immeuble'!E22,Feuil1!$Q$57:$U$70,5,0)</f>
        <v>#N/A</v>
      </c>
      <c r="AX25" s="233" t="e">
        <f t="shared" si="12"/>
        <v>#N/A</v>
      </c>
    </row>
    <row r="26" spans="2:50" x14ac:dyDescent="0.25">
      <c r="B26" s="228" t="s">
        <v>101</v>
      </c>
      <c r="C26" s="184">
        <f>IF('Saisie immeuble'!D23=Feuil1!$B$4,4,IF(AND('Saisie immeuble'!D23=$B$5,('Saisie immeuble'!$C$4=Feuil1!$C$5)),5,IF(AND('Saisie immeuble'!D23=$B$5,('Saisie immeuble'!$C$4=Feuil1!$C$6)),6,IF(AND('Saisie immeuble'!D23=Feuil1!$B$7,('Saisie immeuble'!$C$4=Feuil1!$C$7)),7,IF(AND('Saisie immeuble'!D23=Feuil1!$B$7,('Saisie immeuble'!$C$4=Feuil1!$C$8)),8,0)))))</f>
        <v>0</v>
      </c>
      <c r="D26" s="223" t="e">
        <f>HLOOKUP('Saisie immeuble'!$C$3,Feuil1!$D$1:$BM$8,Feuil1!C26,0)</f>
        <v>#VALUE!</v>
      </c>
      <c r="E26" s="184">
        <f>HLOOKUP('Saisie immeuble'!$C$3,Feuil1!$D$1:$BM$8,3,0)</f>
        <v>3</v>
      </c>
      <c r="F26" s="184">
        <f>IF(E26=1,450+'Saisie immeuble'!C23*6,IF(E26=2,300+'Saisie immeuble'!C23*5,150+'Saisie immeuble'!C23*3))</f>
        <v>150</v>
      </c>
      <c r="G26" s="184">
        <f>IF(E26=1,1400+'Saisie immeuble'!C23*6,IF(E26=2,1100+'Saisie immeuble'!C23*6,500+'Saisie immeuble'!C23*6))</f>
        <v>500</v>
      </c>
      <c r="H26" s="223">
        <f>IF('Saisie immeuble'!$C$6="oui",IF('Saisie immeuble'!D23="dernier étage",IF(Feuil1!E26=1,0.4*Feuil1!D26,IF(Feuil1!E26=2,0.35*Feuil1!D26,IF(Feuil1!E26=3,0.3*Feuil1!D26,0))),0),0)</f>
        <v>0</v>
      </c>
      <c r="I26" s="223" t="e">
        <f>IF('Saisie immeuble'!$C$7="oui",IF(AND(Feuil1!E26=1,('Saisie immeuble'!$C$4=Feuil1!$C$5)),0.3*Feuil1!D26,IF(AND(Feuil1!E26=1,('Saisie immeuble'!$C$4=Feuil1!$C$6)),0.2*Feuil1!D26,IF(AND(Feuil1!E26=2,('Saisie immeuble'!$C$4=Feuil1!$C$5)),0.25*Feuil1!D26,IF(AND(Feuil1!E26=2,('Saisie immeuble'!$C$4=Feuil1!$C$6)),0.15*Feuil1!D26,IF(AND(Feuil1!E26=3,('Saisie immeuble'!$C$4=Feuil1!$C$5)),0.2*Feuil1!D26,IF(AND(Feuil1!E26=3,('Saisie immeuble'!$C$4=Feuil1!$C$6)),0.12*Feuil1!D26)))))),0)</f>
        <v>#VALUE!</v>
      </c>
      <c r="J26" s="223" t="e">
        <f>IF('Saisie immeuble'!$C$8="oui",IF(AND(Feuil1!E26=1,('Saisie immeuble'!$C$4=Feuil1!$C$5)),0.22*Feuil1!D26,IF(AND(Feuil1!E26=1,('Saisie immeuble'!$C$4=Feuil1!$C$6)),0.14*Feuil1!D26,IF(AND(Feuil1!E26=2,('Saisie immeuble'!$C$4=Feuil1!$C$5)),0.2*Feuil1!D26,IF(AND(Feuil1!E26=2,('Saisie immeuble'!$C$4=Feuil1!$C$6)),0.12*Feuil1!D26,IF(AND(Feuil1!E26=3,('Saisie immeuble'!$C$4=Feuil1!$C$5)),0.16*Feuil1!D26,IF(AND(Feuil1!E26=3,('Saisie immeuble'!$C$4=Feuil1!$C$6)),0.1*Feuil1!D26)))))),0)</f>
        <v>#VALUE!</v>
      </c>
      <c r="K26" s="223">
        <f>IF('Saisie immeuble'!$F$7="oui",IF('Saisie immeuble'!D23="rez de chaussée",IF(Feuil1!E26=1,0.2*Feuil1!D26,IF(Feuil1!E26=2,0.16*Feuil1!D26,IF(Feuil1!E26=3,0.12*Feuil1!D26,0))),0),0)</f>
        <v>0</v>
      </c>
      <c r="L26" s="184">
        <f>IF('Saisie immeuble'!C23&gt;0,IF('Saisie immeuble'!C23&gt;57,('Saisie immeuble'!C23-57)*55,('Saisie immeuble'!C23-57)*35),0)</f>
        <v>0</v>
      </c>
      <c r="M26" s="184">
        <f>IF('Saisie immeuble'!C23&gt;0,IF('Saisie immeuble'!$H$7=Feuil1!$B$78,IF(Feuil1!E26=1,700,IF(Feuil1!E26=2,550,400)),IF('Saisie immeuble'!$H$7=Feuil1!$B$79,IF(Feuil1!E26=1,350,IF(Feuil1!E26=2,275,200)),0))*(1-((57-'Saisie immeuble'!C23)/100)),0)</f>
        <v>0</v>
      </c>
      <c r="N26" s="223" t="e">
        <f>D26-IF('Saisie immeuble'!G23=Feuil1!$B$68,Feuil1!F26,IF('Saisie immeuble'!G23=Feuil1!$B$69,G26,0))-H26-I26-J26+L26-K26+M26</f>
        <v>#VALUE!</v>
      </c>
      <c r="O26" s="223" t="e">
        <f t="shared" si="9"/>
        <v>#VALUE!</v>
      </c>
      <c r="P26" s="223" t="e">
        <f>IF('Saisie immeuble'!$C$5="individuel",N26/AJ26,O26/AJ26)</f>
        <v>#VALUE!</v>
      </c>
      <c r="Q26" s="224" t="e">
        <f t="shared" si="10"/>
        <v>#VALUE!</v>
      </c>
      <c r="R26" s="228" t="e">
        <f>VLOOKUP('Saisie immeuble'!E23,Feuil1!$G$58:$I$75,3,0)</f>
        <v>#N/A</v>
      </c>
      <c r="S26" s="184" t="e">
        <f>VLOOKUP('Saisie immeuble'!F23,Feuil1!$Q$57:$U$70,5,0)</f>
        <v>#N/A</v>
      </c>
      <c r="T26" s="184" t="e">
        <f>IF(AND(R26&lt;&gt;"élec",(S26&lt;&gt;"élec"),('Saisie immeuble'!C23&lt;40)),'Référence&amp;tarifs'!$A$6,IF(AND(R26="élec",(S26="élec")),'Référence&amp;tarifs'!$A$8,'Référence&amp;tarifs'!$A$7))</f>
        <v>#N/A</v>
      </c>
      <c r="U26" s="184" t="e">
        <f>VLOOKUP(T26,'Référence&amp;tarifs'!$A$6:$C$10,2,0)</f>
        <v>#N/A</v>
      </c>
      <c r="V26" s="184" t="e">
        <f>VLOOKUP(T26,'Référence&amp;tarifs'!$A$6:$C$10,3,0)</f>
        <v>#N/A</v>
      </c>
      <c r="W26" s="184"/>
      <c r="X26" s="236" t="e">
        <f>IF('Résultat immeuble'!S16&lt;1.1,HLOOKUP(Feuil1!T26,'Référence&amp;tarifs'!#REF!,2,0),IF('Résultat immeuble'!S16&gt;1.9,HLOOKUP(Feuil1!T26,'Référence&amp;tarifs'!#REF!,4,0),HLOOKUP(Feuil1!T26,'Référence&amp;tarifs'!#REF!,3,0)))</f>
        <v>#N/A</v>
      </c>
      <c r="Y26" s="228" t="e">
        <f>IF(R26="gaz",N26,0)+IF(S26="gaz",AT26,0)+IF('Saisie immeuble'!H23="gaz de ville",Feuil1!AH26,0)</f>
        <v>#N/A</v>
      </c>
      <c r="Z26" s="184" t="e">
        <f>IF(Y26&lt;1000,'Référence&amp;tarifs'!$A$16,IF(Y26&gt;5999,'Référence&amp;tarifs'!$A$18,'Référence&amp;tarifs'!$A$17))</f>
        <v>#N/A</v>
      </c>
      <c r="AA26" s="184" t="e">
        <f>VLOOKUP(Z26,'Référence&amp;tarifs'!$A$16:$C$18,2,0)</f>
        <v>#N/A</v>
      </c>
      <c r="AB26" s="184" t="e">
        <f>VLOOKUP(Z26,'Référence&amp;tarifs'!$A$16:$C$18,3,0)</f>
        <v>#N/A</v>
      </c>
      <c r="AC26" s="229" t="e">
        <f>IF('Saisie immeuble'!$C$5="individuel",IF('Résultat immeuble'!S16=1,HLOOKUP(Feuil1!Z26,'Référence&amp;tarifs'!#REF!,2,0),IF('Résultat immeuble'!S16&gt;1.9,HLOOKUP(Feuil1!Z26,'Référence&amp;tarifs'!#REF!,4,0),HLOOKUP(Feuil1!Z26,'Référence&amp;tarifs'!#REF!,3,0))),IF('Saisie immeuble'!$C$5="collectif",IF('Résultat immeuble'!S16=1,'Référence&amp;tarifs'!#REF!,IF('Résultat immeuble'!S16&gt;1.9,'Référence&amp;tarifs'!#REF!,IF(AND('Résultat immeuble'!S16&lt;2,('Résultat immeuble'!S16&gt;1)),'Référence&amp;tarifs'!#REF!,0)))))</f>
        <v>#N/A</v>
      </c>
      <c r="AD26" s="230">
        <f>IF('Saisie immeuble'!I23+'Saisie immeuble'!J23&gt;0,18*'Saisie immeuble'!C23+3.5*('Saisie immeuble'!I23+'Saisie immeuble'!J23-1)*'Saisie immeuble'!C23,0)</f>
        <v>0</v>
      </c>
      <c r="AE26" s="231"/>
      <c r="AF26" s="232"/>
      <c r="AG26" s="233" t="e">
        <f t="shared" si="11"/>
        <v>#N/A</v>
      </c>
      <c r="AH26" s="228">
        <f>IF('Saisie immeuble'!I23+'Saisie immeuble'!J23&gt;0,350+80*('Saisie immeuble'!I23+'Saisie immeuble'!J23-1),0)</f>
        <v>0</v>
      </c>
      <c r="AI26" s="233" t="e">
        <f>IF('Saisie immeuble'!H23="gaz de ville",Feuil1!AB26,IF('Saisie immeuble'!H23=$B$72,V26,0))*Feuil1!AH26+IF(AND(R26&lt;&gt;"gaz",(S26&lt;&gt;"gaz"),('Saisie immeuble'!H23="gaz de ville")),Feuil1!AA26,0)</f>
        <v>#N/A</v>
      </c>
      <c r="AJ26" s="228" t="e">
        <f>VLOOKUP('Saisie immeuble'!E23,Feuil1!$G$58:$I$75,2,0)</f>
        <v>#N/A</v>
      </c>
      <c r="AK26" s="184" t="e">
        <f>VLOOKUP('Saisie immeuble'!E23,Feuil1!$G$58:$I$75,3,0)</f>
        <v>#N/A</v>
      </c>
      <c r="AL26" s="234" t="e">
        <f>IF(AK26="élec",V26,IF(AK26="gaz",AB26,IF(AK26="fioul",'Référence&amp;tarifs'!$B$25,IF(AK26="bois buche",'Référence&amp;tarifs'!$B$23,IF(AK26="bois granulés",'Référence&amp;tarifs'!$B$24,IF(AK26=I70,0.8*('Référence&amp;tarifs'!$B$23+'Référence&amp;tarifs'!B28)/2+0.2*Feuil1!AB26,0))))))</f>
        <v>#N/A</v>
      </c>
      <c r="AM26" s="228">
        <f>IF('Saisie immeuble'!I23+'Saisie immeuble'!J23&gt;0,Feuil1!$AM$13+2*('Saisie immeuble'!I23+'Saisie immeuble'!J23-1),0)</f>
        <v>0</v>
      </c>
      <c r="AN26" s="184">
        <f>IF('Saisie immeuble'!I23+'Saisie immeuble'!J23&gt;0,Feuil1!$AN$13*('Saisie immeuble'!I23+'Saisie immeuble'!J23),0)</f>
        <v>0</v>
      </c>
      <c r="AO26" s="184">
        <f>IF('Saisie immeuble'!I23+'Saisie immeuble'!J23&gt;0,Feuil1!$AO$13+3*('Saisie immeuble'!I23+'Saisie immeuble'!J23-1),0)</f>
        <v>0</v>
      </c>
      <c r="AP26" s="184">
        <f>IF('Saisie immeuble'!I23+'Saisie immeuble'!J23&gt;0,Feuil1!$AP$13+2*('Saisie immeuble'!I23+'Saisie immeuble'!J23-1),0)</f>
        <v>0</v>
      </c>
      <c r="AQ26" s="184">
        <f>IF('Saisie immeuble'!I23+'Saisie immeuble'!J23&gt;0,Feuil1!$AQ$13*('Saisie immeuble'!I23+'Saisie immeuble'!J23),0)</f>
        <v>0</v>
      </c>
      <c r="AR26" s="184">
        <f t="shared" si="8"/>
        <v>0</v>
      </c>
      <c r="AS26" s="224" t="e">
        <f>AR26*'Saisie immeuble'!$F$8+IF(AND(R26&lt;&gt;"gaz",(S26="gaz")),AA26,0)</f>
        <v>#N/A</v>
      </c>
      <c r="AT26" s="228">
        <f>IF('Saisie immeuble'!I23+'Saisie immeuble'!J23&gt;0,1100+700*('Saisie immeuble'!I23+'Saisie immeuble'!J23-1),0)</f>
        <v>0</v>
      </c>
      <c r="AU26" s="235" t="e">
        <f>IF(AW26="élec",Feuil1!V26,IF(AW26="gaz",Feuil1!AB26,IF(AW26="fioul",'Référence&amp;tarifs'!$B$25,IF(AW26="bois",('Référence&amp;tarifs'!$B$23+'Référence&amp;tarifs'!$B$24)/2,0))))</f>
        <v>#N/A</v>
      </c>
      <c r="AV26" s="184" t="e">
        <f>VLOOKUP('Saisie immeuble'!F23,Feuil1!$Q$57:$U$70,4,0)</f>
        <v>#N/A</v>
      </c>
      <c r="AW26" s="184" t="e">
        <f>VLOOKUP('Saisie immeuble'!F23,Feuil1!$Q$57:$U$70,5,0)</f>
        <v>#N/A</v>
      </c>
      <c r="AX26" s="233" t="e">
        <f t="shared" si="12"/>
        <v>#N/A</v>
      </c>
    </row>
    <row r="27" spans="2:50" x14ac:dyDescent="0.25">
      <c r="B27" s="228" t="s">
        <v>102</v>
      </c>
      <c r="C27" s="184">
        <f>IF('Saisie immeuble'!D24=Feuil1!$B$4,4,IF(AND('Saisie immeuble'!D24=$B$5,('Saisie immeuble'!$C$4=Feuil1!$C$5)),5,IF(AND('Saisie immeuble'!D24=$B$5,('Saisie immeuble'!$C$4=Feuil1!$C$6)),6,IF(AND('Saisie immeuble'!D24=Feuil1!$B$7,('Saisie immeuble'!$C$4=Feuil1!$C$7)),7,IF(AND('Saisie immeuble'!D24=Feuil1!$B$7,('Saisie immeuble'!$C$4=Feuil1!$C$8)),8,0)))))</f>
        <v>0</v>
      </c>
      <c r="D27" s="223" t="e">
        <f>HLOOKUP('Saisie immeuble'!$C$3,Feuil1!$D$1:$BM$8,Feuil1!C27,0)</f>
        <v>#VALUE!</v>
      </c>
      <c r="E27" s="184">
        <f>HLOOKUP('Saisie immeuble'!$C$3,Feuil1!$D$1:$BM$8,3,0)</f>
        <v>3</v>
      </c>
      <c r="F27" s="184">
        <f>IF(E27=1,450+'Saisie immeuble'!C24*6,IF(E27=2,300+'Saisie immeuble'!C24*5,150+'Saisie immeuble'!C24*3))</f>
        <v>150</v>
      </c>
      <c r="G27" s="184">
        <f>IF(E27=1,1400+'Saisie immeuble'!C24*6,IF(E27=2,1100+'Saisie immeuble'!C24*6,500+'Saisie immeuble'!C24*6))</f>
        <v>500</v>
      </c>
      <c r="H27" s="223">
        <f>IF('Saisie immeuble'!$C$6="oui",IF('Saisie immeuble'!D24="dernier étage",IF(Feuil1!E27=1,0.4*Feuil1!D27,IF(Feuil1!E27=2,0.35*Feuil1!D27,IF(Feuil1!E27=3,0.3*Feuil1!D27,0))),0),0)</f>
        <v>0</v>
      </c>
      <c r="I27" s="223" t="e">
        <f>IF('Saisie immeuble'!$C$7="oui",IF(AND(Feuil1!E27=1,('Saisie immeuble'!$C$4=Feuil1!$C$5)),0.3*Feuil1!D27,IF(AND(Feuil1!E27=1,('Saisie immeuble'!$C$4=Feuil1!$C$6)),0.2*Feuil1!D27,IF(AND(Feuil1!E27=2,('Saisie immeuble'!$C$4=Feuil1!$C$5)),0.25*Feuil1!D27,IF(AND(Feuil1!E27=2,('Saisie immeuble'!$C$4=Feuil1!$C$6)),0.15*Feuil1!D27,IF(AND(Feuil1!E27=3,('Saisie immeuble'!$C$4=Feuil1!$C$5)),0.2*Feuil1!D27,IF(AND(Feuil1!E27=3,('Saisie immeuble'!$C$4=Feuil1!$C$6)),0.12*Feuil1!D27)))))),0)</f>
        <v>#VALUE!</v>
      </c>
      <c r="J27" s="223" t="e">
        <f>IF('Saisie immeuble'!$C$8="oui",IF(AND(Feuil1!E27=1,('Saisie immeuble'!$C$4=Feuil1!$C$5)),0.22*Feuil1!D27,IF(AND(Feuil1!E27=1,('Saisie immeuble'!$C$4=Feuil1!$C$6)),0.14*Feuil1!D27,IF(AND(Feuil1!E27=2,('Saisie immeuble'!$C$4=Feuil1!$C$5)),0.2*Feuil1!D27,IF(AND(Feuil1!E27=2,('Saisie immeuble'!$C$4=Feuil1!$C$6)),0.12*Feuil1!D27,IF(AND(Feuil1!E27=3,('Saisie immeuble'!$C$4=Feuil1!$C$5)),0.16*Feuil1!D27,IF(AND(Feuil1!E27=3,('Saisie immeuble'!$C$4=Feuil1!$C$6)),0.1*Feuil1!D27)))))),0)</f>
        <v>#VALUE!</v>
      </c>
      <c r="K27" s="223">
        <f>IF('Saisie immeuble'!$F$7="oui",IF('Saisie immeuble'!D24="rez de chaussée",IF(Feuil1!E27=1,0.2*Feuil1!D27,IF(Feuil1!E27=2,0.16*Feuil1!D27,IF(Feuil1!E27=3,0.12*Feuil1!D27,0))),0),0)</f>
        <v>0</v>
      </c>
      <c r="L27" s="184">
        <f>IF('Saisie immeuble'!C24&gt;0,IF('Saisie immeuble'!C24&gt;57,('Saisie immeuble'!C24-57)*55,('Saisie immeuble'!C24-57)*35),0)</f>
        <v>0</v>
      </c>
      <c r="M27" s="184">
        <f>IF('Saisie immeuble'!C24&gt;0,IF('Saisie immeuble'!$H$7=Feuil1!$B$78,IF(Feuil1!E27=1,700,IF(Feuil1!E27=2,550,400)),IF('Saisie immeuble'!$H$7=Feuil1!$B$79,IF(Feuil1!E27=1,350,IF(Feuil1!E27=2,275,200)),0))*(1-((57-'Saisie immeuble'!C24)/100)),0)</f>
        <v>0</v>
      </c>
      <c r="N27" s="223" t="e">
        <f>D27-IF('Saisie immeuble'!G24=Feuil1!$B$68,Feuil1!F27,IF('Saisie immeuble'!G24=Feuil1!$B$69,G27,0))-H27-I27-J27+L27-K27+M27</f>
        <v>#VALUE!</v>
      </c>
      <c r="O27" s="223" t="e">
        <f t="shared" si="9"/>
        <v>#VALUE!</v>
      </c>
      <c r="P27" s="223" t="e">
        <f>IF('Saisie immeuble'!$C$5="individuel",N27/AJ27,O27/AJ27)</f>
        <v>#VALUE!</v>
      </c>
      <c r="Q27" s="224" t="e">
        <f t="shared" si="10"/>
        <v>#VALUE!</v>
      </c>
      <c r="R27" s="228" t="e">
        <f>VLOOKUP('Saisie immeuble'!E24,Feuil1!$G$58:$I$75,3,0)</f>
        <v>#N/A</v>
      </c>
      <c r="S27" s="184" t="e">
        <f>VLOOKUP('Saisie immeuble'!F24,Feuil1!$Q$57:$U$70,5,0)</f>
        <v>#N/A</v>
      </c>
      <c r="T27" s="184" t="e">
        <f>IF(AND(R27&lt;&gt;"élec",(S27&lt;&gt;"élec"),('Saisie immeuble'!C24&lt;40)),'Référence&amp;tarifs'!$A$6,IF(AND(R27="élec",(S27="élec")),'Référence&amp;tarifs'!$A$8,'Référence&amp;tarifs'!$A$7))</f>
        <v>#N/A</v>
      </c>
      <c r="U27" s="184" t="e">
        <f>VLOOKUP(T27,'Référence&amp;tarifs'!$A$6:$C$10,2,0)</f>
        <v>#N/A</v>
      </c>
      <c r="V27" s="184" t="e">
        <f>VLOOKUP(T27,'Référence&amp;tarifs'!$A$6:$C$10,3,0)</f>
        <v>#N/A</v>
      </c>
      <c r="W27" s="184"/>
      <c r="X27" s="236" t="e">
        <f>IF('Résultat immeuble'!S17&lt;1.1,HLOOKUP(Feuil1!T27,'Référence&amp;tarifs'!#REF!,2,0),IF('Résultat immeuble'!S17&gt;1.9,HLOOKUP(Feuil1!T27,'Référence&amp;tarifs'!#REF!,4,0),HLOOKUP(Feuil1!T27,'Référence&amp;tarifs'!#REF!,3,0)))</f>
        <v>#N/A</v>
      </c>
      <c r="Y27" s="228" t="e">
        <f>IF(R27="gaz",N27,0)+IF(S27="gaz",AT27,0)+IF('Saisie immeuble'!H24="gaz de ville",Feuil1!AH27,0)</f>
        <v>#N/A</v>
      </c>
      <c r="Z27" s="184" t="e">
        <f>IF(Y27&lt;1000,'Référence&amp;tarifs'!$A$16,IF(Y27&gt;5999,'Référence&amp;tarifs'!$A$18,'Référence&amp;tarifs'!$A$17))</f>
        <v>#N/A</v>
      </c>
      <c r="AA27" s="184" t="e">
        <f>VLOOKUP(Z27,'Référence&amp;tarifs'!$A$16:$C$18,2,0)</f>
        <v>#N/A</v>
      </c>
      <c r="AB27" s="184" t="e">
        <f>VLOOKUP(Z27,'Référence&amp;tarifs'!$A$16:$C$18,3,0)</f>
        <v>#N/A</v>
      </c>
      <c r="AC27" s="229" t="e">
        <f>IF('Saisie immeuble'!$C$5="individuel",IF('Résultat immeuble'!S17=1,HLOOKUP(Feuil1!Z27,'Référence&amp;tarifs'!#REF!,2,0),IF('Résultat immeuble'!S17&gt;1.9,HLOOKUP(Feuil1!Z27,'Référence&amp;tarifs'!#REF!,4,0),HLOOKUP(Feuil1!Z27,'Référence&amp;tarifs'!#REF!,3,0))),IF('Saisie immeuble'!$C$5="collectif",IF('Résultat immeuble'!S17=1,'Référence&amp;tarifs'!#REF!,IF('Résultat immeuble'!S17&gt;1.9,'Référence&amp;tarifs'!#REF!,IF(AND('Résultat immeuble'!S17&lt;2,('Résultat immeuble'!S17&gt;1)),'Référence&amp;tarifs'!#REF!,0)))))</f>
        <v>#N/A</v>
      </c>
      <c r="AD27" s="230">
        <f>IF('Saisie immeuble'!I24+'Saisie immeuble'!J24&gt;0,18*'Saisie immeuble'!C24+3.5*('Saisie immeuble'!I24+'Saisie immeuble'!J24-1)*'Saisie immeuble'!C24,0)</f>
        <v>0</v>
      </c>
      <c r="AE27" s="231"/>
      <c r="AF27" s="232"/>
      <c r="AG27" s="233" t="e">
        <f t="shared" si="11"/>
        <v>#N/A</v>
      </c>
      <c r="AH27" s="228">
        <f>IF('Saisie immeuble'!I24+'Saisie immeuble'!J24&gt;0,350+80*('Saisie immeuble'!I24+'Saisie immeuble'!J24-1),0)</f>
        <v>0</v>
      </c>
      <c r="AI27" s="233" t="e">
        <f>IF('Saisie immeuble'!H24="gaz de ville",Feuil1!AB27,IF('Saisie immeuble'!H24=$B$72,V27,0))*Feuil1!AH27+IF(AND(R27&lt;&gt;"gaz",(S27&lt;&gt;"gaz"),('Saisie immeuble'!H24="gaz de ville")),Feuil1!AA27,0)</f>
        <v>#N/A</v>
      </c>
      <c r="AJ27" s="228" t="e">
        <f>VLOOKUP('Saisie immeuble'!E24,Feuil1!$G$58:$I$75,2,0)</f>
        <v>#N/A</v>
      </c>
      <c r="AK27" s="184" t="e">
        <f>VLOOKUP('Saisie immeuble'!E24,Feuil1!$G$58:$I$75,3,0)</f>
        <v>#N/A</v>
      </c>
      <c r="AL27" s="234" t="e">
        <f>IF(AK27="élec",V27,IF(AK27="gaz",AB27,IF(AK27="fioul",'Référence&amp;tarifs'!$B$25,IF(AK27="bois buche",'Référence&amp;tarifs'!$B$23,IF(AK27="bois granulés",'Référence&amp;tarifs'!$B$24,IF(AK27=I71,0.8*('Référence&amp;tarifs'!$B$23+'Référence&amp;tarifs'!B29)/2+0.2*Feuil1!AB27,0))))))</f>
        <v>#N/A</v>
      </c>
      <c r="AM27" s="228">
        <f>IF('Saisie immeuble'!I24+'Saisie immeuble'!J24&gt;0,Feuil1!$AM$13+2*('Saisie immeuble'!I24+'Saisie immeuble'!J24-1),0)</f>
        <v>0</v>
      </c>
      <c r="AN27" s="184">
        <f>IF('Saisie immeuble'!I24+'Saisie immeuble'!J24&gt;0,Feuil1!$AN$13*('Saisie immeuble'!I24+'Saisie immeuble'!J24),0)</f>
        <v>0</v>
      </c>
      <c r="AO27" s="184">
        <f>IF('Saisie immeuble'!I24+'Saisie immeuble'!J24&gt;0,Feuil1!$AO$13+3*('Saisie immeuble'!I24+'Saisie immeuble'!J24-1),0)</f>
        <v>0</v>
      </c>
      <c r="AP27" s="184">
        <f>IF('Saisie immeuble'!I24+'Saisie immeuble'!J24&gt;0,Feuil1!$AP$13+2*('Saisie immeuble'!I24+'Saisie immeuble'!J24-1),0)</f>
        <v>0</v>
      </c>
      <c r="AQ27" s="184">
        <f>IF('Saisie immeuble'!I24+'Saisie immeuble'!J24&gt;0,Feuil1!$AQ$13*('Saisie immeuble'!I24+'Saisie immeuble'!J24),0)</f>
        <v>0</v>
      </c>
      <c r="AR27" s="184">
        <f t="shared" si="8"/>
        <v>0</v>
      </c>
      <c r="AS27" s="224" t="e">
        <f>AR27*'Saisie immeuble'!$F$8+IF(AND(R27&lt;&gt;"gaz",(S27="gaz")),AA27,0)</f>
        <v>#N/A</v>
      </c>
      <c r="AT27" s="228">
        <f>IF('Saisie immeuble'!I24+'Saisie immeuble'!J24&gt;0,1100+700*('Saisie immeuble'!I24+'Saisie immeuble'!J24-1),0)</f>
        <v>0</v>
      </c>
      <c r="AU27" s="235" t="e">
        <f>IF(AW27="élec",Feuil1!V27,IF(AW27="gaz",Feuil1!AB27,IF(AW27="fioul",'Référence&amp;tarifs'!$B$25,IF(AW27="bois",('Référence&amp;tarifs'!$B$23+'Référence&amp;tarifs'!$B$24)/2,0))))</f>
        <v>#N/A</v>
      </c>
      <c r="AV27" s="184" t="e">
        <f>VLOOKUP('Saisie immeuble'!F24,Feuil1!$Q$57:$U$70,4,0)</f>
        <v>#N/A</v>
      </c>
      <c r="AW27" s="184" t="e">
        <f>VLOOKUP('Saisie immeuble'!F24,Feuil1!$Q$57:$U$70,5,0)</f>
        <v>#N/A</v>
      </c>
      <c r="AX27" s="233" t="e">
        <f t="shared" si="12"/>
        <v>#N/A</v>
      </c>
    </row>
    <row r="28" spans="2:50" x14ac:dyDescent="0.25">
      <c r="B28" s="228" t="s">
        <v>103</v>
      </c>
      <c r="C28" s="184">
        <f>IF('Saisie immeuble'!D25=Feuil1!$B$4,4,IF(AND('Saisie immeuble'!D25=$B$5,('Saisie immeuble'!$C$4=Feuil1!$C$5)),5,IF(AND('Saisie immeuble'!D25=$B$5,('Saisie immeuble'!$C$4=Feuil1!$C$6)),6,IF(AND('Saisie immeuble'!D25=Feuil1!$B$7,('Saisie immeuble'!$C$4=Feuil1!$C$7)),7,IF(AND('Saisie immeuble'!D25=Feuil1!$B$7,('Saisie immeuble'!$C$4=Feuil1!$C$8)),8,0)))))</f>
        <v>0</v>
      </c>
      <c r="D28" s="223" t="e">
        <f>HLOOKUP('Saisie immeuble'!$C$3,Feuil1!$D$1:$BM$8,Feuil1!C28,0)</f>
        <v>#VALUE!</v>
      </c>
      <c r="E28" s="184">
        <f>HLOOKUP('Saisie immeuble'!$C$3,Feuil1!$D$1:$BM$8,3,0)</f>
        <v>3</v>
      </c>
      <c r="F28" s="184">
        <f>IF(E28=1,450+'Saisie immeuble'!C25*6,IF(E28=2,300+'Saisie immeuble'!C25*5,150+'Saisie immeuble'!C25*3))</f>
        <v>150</v>
      </c>
      <c r="G28" s="184">
        <f>IF(E28=1,1400+'Saisie immeuble'!C25*6,IF(E28=2,1100+'Saisie immeuble'!C25*6,500+'Saisie immeuble'!C25*6))</f>
        <v>500</v>
      </c>
      <c r="H28" s="223">
        <f>IF('Saisie immeuble'!$C$6="oui",IF('Saisie immeuble'!D25="dernier étage",IF(Feuil1!E28=1,0.4*Feuil1!D28,IF(Feuil1!E28=2,0.35*Feuil1!D28,IF(Feuil1!E28=3,0.3*Feuil1!D28,0))),0),0)</f>
        <v>0</v>
      </c>
      <c r="I28" s="223" t="e">
        <f>IF('Saisie immeuble'!$C$7="oui",IF(AND(Feuil1!E28=1,('Saisie immeuble'!$C$4=Feuil1!$C$5)),0.3*Feuil1!D28,IF(AND(Feuil1!E28=1,('Saisie immeuble'!$C$4=Feuil1!$C$6)),0.2*Feuil1!D28,IF(AND(Feuil1!E28=2,('Saisie immeuble'!$C$4=Feuil1!$C$5)),0.25*Feuil1!D28,IF(AND(Feuil1!E28=2,('Saisie immeuble'!$C$4=Feuil1!$C$6)),0.15*Feuil1!D28,IF(AND(Feuil1!E28=3,('Saisie immeuble'!$C$4=Feuil1!$C$5)),0.2*Feuil1!D28,IF(AND(Feuil1!E28=3,('Saisie immeuble'!$C$4=Feuil1!$C$6)),0.12*Feuil1!D28)))))),0)</f>
        <v>#VALUE!</v>
      </c>
      <c r="J28" s="223" t="e">
        <f>IF('Saisie immeuble'!$C$8="oui",IF(AND(Feuil1!E28=1,('Saisie immeuble'!$C$4=Feuil1!$C$5)),0.22*Feuil1!D28,IF(AND(Feuil1!E28=1,('Saisie immeuble'!$C$4=Feuil1!$C$6)),0.14*Feuil1!D28,IF(AND(Feuil1!E28=2,('Saisie immeuble'!$C$4=Feuil1!$C$5)),0.2*Feuil1!D28,IF(AND(Feuil1!E28=2,('Saisie immeuble'!$C$4=Feuil1!$C$6)),0.12*Feuil1!D28,IF(AND(Feuil1!E28=3,('Saisie immeuble'!$C$4=Feuil1!$C$5)),0.16*Feuil1!D28,IF(AND(Feuil1!E28=3,('Saisie immeuble'!$C$4=Feuil1!$C$6)),0.1*Feuil1!D28)))))),0)</f>
        <v>#VALUE!</v>
      </c>
      <c r="K28" s="223">
        <f>IF('Saisie immeuble'!$F$7="oui",IF('Saisie immeuble'!D25="rez de chaussée",IF(Feuil1!E28=1,0.2*Feuil1!D28,IF(Feuil1!E28=2,0.16*Feuil1!D28,IF(Feuil1!E28=3,0.12*Feuil1!D28,0))),0),0)</f>
        <v>0</v>
      </c>
      <c r="L28" s="184">
        <f>IF('Saisie immeuble'!C25&gt;0,IF('Saisie immeuble'!C25&gt;57,('Saisie immeuble'!C25-57)*55,('Saisie immeuble'!C25-57)*35),0)</f>
        <v>0</v>
      </c>
      <c r="M28" s="184">
        <f>IF('Saisie immeuble'!C25&gt;0,IF('Saisie immeuble'!$H$7=Feuil1!$B$78,IF(Feuil1!E28=1,700,IF(Feuil1!E28=2,550,400)),IF('Saisie immeuble'!$H$7=Feuil1!$B$79,IF(Feuil1!E28=1,350,IF(Feuil1!E28=2,275,200)),0))*(1-((57-'Saisie immeuble'!C25)/100)),0)</f>
        <v>0</v>
      </c>
      <c r="N28" s="223" t="e">
        <f>D28-IF('Saisie immeuble'!G25=Feuil1!$B$68,Feuil1!F28,IF('Saisie immeuble'!G25=Feuil1!$B$69,G28,0))-H28-I28-J28+L28-K28+M28</f>
        <v>#VALUE!</v>
      </c>
      <c r="O28" s="223" t="e">
        <f t="shared" si="9"/>
        <v>#VALUE!</v>
      </c>
      <c r="P28" s="223" t="e">
        <f>IF('Saisie immeuble'!$C$5="individuel",N28/AJ28,O28/AJ28)</f>
        <v>#VALUE!</v>
      </c>
      <c r="Q28" s="224" t="e">
        <f t="shared" si="10"/>
        <v>#VALUE!</v>
      </c>
      <c r="R28" s="228" t="e">
        <f>VLOOKUP('Saisie immeuble'!E25,Feuil1!$G$58:$I$75,3,0)</f>
        <v>#N/A</v>
      </c>
      <c r="S28" s="184" t="e">
        <f>VLOOKUP('Saisie immeuble'!F25,Feuil1!$Q$57:$U$70,5,0)</f>
        <v>#N/A</v>
      </c>
      <c r="T28" s="184" t="e">
        <f>IF(AND(R28&lt;&gt;"élec",(S28&lt;&gt;"élec"),('Saisie immeuble'!C25&lt;40)),'Référence&amp;tarifs'!$A$6,IF(AND(R28="élec",(S28="élec")),'Référence&amp;tarifs'!$A$8,'Référence&amp;tarifs'!$A$7))</f>
        <v>#N/A</v>
      </c>
      <c r="U28" s="184" t="e">
        <f>VLOOKUP(T28,'Référence&amp;tarifs'!$A$6:$C$10,2,0)</f>
        <v>#N/A</v>
      </c>
      <c r="V28" s="184" t="e">
        <f>VLOOKUP(T28,'Référence&amp;tarifs'!$A$6:$C$10,3,0)</f>
        <v>#N/A</v>
      </c>
      <c r="W28" s="184"/>
      <c r="X28" s="236" t="e">
        <f>IF('Résultat immeuble'!S19&lt;1.1,HLOOKUP(Feuil1!T28,'Référence&amp;tarifs'!#REF!,2,0),IF('Résultat immeuble'!S19&gt;1.9,HLOOKUP(Feuil1!T28,'Référence&amp;tarifs'!#REF!,4,0),HLOOKUP(Feuil1!T28,'Référence&amp;tarifs'!#REF!,3,0)))</f>
        <v>#N/A</v>
      </c>
      <c r="Y28" s="228" t="e">
        <f>IF(R28="gaz",N28,0)+IF(S28="gaz",AT28,0)+IF('Saisie immeuble'!H25="gaz de ville",Feuil1!AH28,0)</f>
        <v>#N/A</v>
      </c>
      <c r="Z28" s="184" t="e">
        <f>IF(Y28&lt;1000,'Référence&amp;tarifs'!$A$16,IF(Y28&gt;5999,'Référence&amp;tarifs'!$A$18,'Référence&amp;tarifs'!$A$17))</f>
        <v>#N/A</v>
      </c>
      <c r="AA28" s="184" t="e">
        <f>VLOOKUP(Z28,'Référence&amp;tarifs'!$A$16:$C$18,2,0)</f>
        <v>#N/A</v>
      </c>
      <c r="AB28" s="184" t="e">
        <f>VLOOKUP(Z28,'Référence&amp;tarifs'!$A$16:$C$18,3,0)</f>
        <v>#N/A</v>
      </c>
      <c r="AC28" s="229" t="e">
        <f>IF('Saisie immeuble'!$C$5="individuel",IF('Résultat immeuble'!S19=1,HLOOKUP(Feuil1!Z28,'Référence&amp;tarifs'!#REF!,2,0),IF('Résultat immeuble'!S19&gt;1.9,HLOOKUP(Feuil1!Z28,'Référence&amp;tarifs'!#REF!,4,0),HLOOKUP(Feuil1!Z28,'Référence&amp;tarifs'!#REF!,3,0))),IF('Saisie immeuble'!$C$5="collectif",IF('Résultat immeuble'!S19=1,'Référence&amp;tarifs'!#REF!,IF('Résultat immeuble'!S19&gt;1.9,'Référence&amp;tarifs'!#REF!,IF(AND('Résultat immeuble'!S19&lt;2,('Résultat immeuble'!S19&gt;1)),'Référence&amp;tarifs'!#REF!,0)))))</f>
        <v>#N/A</v>
      </c>
      <c r="AD28" s="230">
        <f>IF('Saisie immeuble'!I25+'Saisie immeuble'!J25&gt;0,18*'Saisie immeuble'!C25+3.5*('Saisie immeuble'!I25+'Saisie immeuble'!J25-1)*'Saisie immeuble'!C25,0)</f>
        <v>0</v>
      </c>
      <c r="AE28" s="231"/>
      <c r="AF28" s="232"/>
      <c r="AG28" s="233" t="e">
        <f t="shared" si="11"/>
        <v>#N/A</v>
      </c>
      <c r="AH28" s="228">
        <f>IF('Saisie immeuble'!I25+'Saisie immeuble'!J25&gt;0,350+80*('Saisie immeuble'!I25+'Saisie immeuble'!J25-1),0)</f>
        <v>0</v>
      </c>
      <c r="AI28" s="233" t="e">
        <f>IF('Saisie immeuble'!H25="gaz de ville",Feuil1!AB28,IF('Saisie immeuble'!H25=$B$72,V28,0))*Feuil1!AH28+IF(AND(R28&lt;&gt;"gaz",(S28&lt;&gt;"gaz"),('Saisie immeuble'!H25="gaz de ville")),Feuil1!AA28,0)</f>
        <v>#N/A</v>
      </c>
      <c r="AJ28" s="228" t="e">
        <f>VLOOKUP('Saisie immeuble'!E25,Feuil1!$G$58:$I$75,2,0)</f>
        <v>#N/A</v>
      </c>
      <c r="AK28" s="184" t="e">
        <f>VLOOKUP('Saisie immeuble'!E25,Feuil1!$G$58:$I$75,3,0)</f>
        <v>#N/A</v>
      </c>
      <c r="AL28" s="234" t="e">
        <f>IF(AK28="élec",V28,IF(AK28="gaz",AB28,IF(AK28="fioul",'Référence&amp;tarifs'!$B$25,IF(AK28="bois buche",'Référence&amp;tarifs'!$B$23,IF(AK28="bois granulés",'Référence&amp;tarifs'!$B$24,IF(AK28=I72,0.8*('Référence&amp;tarifs'!$B$23+'Référence&amp;tarifs'!B30)/2+0.2*Feuil1!AB28,0))))))</f>
        <v>#N/A</v>
      </c>
      <c r="AM28" s="228">
        <f>IF('Saisie immeuble'!I25+'Saisie immeuble'!J25&gt;0,Feuil1!$AM$13+2*('Saisie immeuble'!I25+'Saisie immeuble'!J25-1),0)</f>
        <v>0</v>
      </c>
      <c r="AN28" s="184">
        <f>IF('Saisie immeuble'!I25+'Saisie immeuble'!J25&gt;0,Feuil1!$AN$13*('Saisie immeuble'!I25+'Saisie immeuble'!J25),0)</f>
        <v>0</v>
      </c>
      <c r="AO28" s="184">
        <f>IF('Saisie immeuble'!I25+'Saisie immeuble'!J25&gt;0,Feuil1!$AO$13+3*('Saisie immeuble'!I25+'Saisie immeuble'!J25-1),0)</f>
        <v>0</v>
      </c>
      <c r="AP28" s="184">
        <f>IF('Saisie immeuble'!I25+'Saisie immeuble'!J25&gt;0,Feuil1!$AP$13+2*('Saisie immeuble'!I25+'Saisie immeuble'!J25-1),0)</f>
        <v>0</v>
      </c>
      <c r="AQ28" s="184">
        <f>IF('Saisie immeuble'!I25+'Saisie immeuble'!J25&gt;0,Feuil1!$AQ$13*('Saisie immeuble'!I25+'Saisie immeuble'!J25),0)</f>
        <v>0</v>
      </c>
      <c r="AR28" s="184">
        <f t="shared" si="8"/>
        <v>0</v>
      </c>
      <c r="AS28" s="224" t="e">
        <f>AR28*'Saisie immeuble'!$F$8+IF(AND(R28&lt;&gt;"gaz",(S28="gaz")),AA28,0)</f>
        <v>#N/A</v>
      </c>
      <c r="AT28" s="228">
        <f>IF('Saisie immeuble'!I25+'Saisie immeuble'!J25&gt;0,1100+700*('Saisie immeuble'!I25+'Saisie immeuble'!J25-1),0)</f>
        <v>0</v>
      </c>
      <c r="AU28" s="235" t="e">
        <f>IF(AW28="élec",Feuil1!V28,IF(AW28="gaz",Feuil1!AB28,IF(AW28="fioul",'Référence&amp;tarifs'!$B$25,IF(AW28="bois",('Référence&amp;tarifs'!$B$23+'Référence&amp;tarifs'!$B$24)/2,0))))</f>
        <v>#N/A</v>
      </c>
      <c r="AV28" s="184" t="e">
        <f>VLOOKUP('Saisie immeuble'!F25,Feuil1!$Q$57:$U$70,4,0)</f>
        <v>#N/A</v>
      </c>
      <c r="AW28" s="184" t="e">
        <f>VLOOKUP('Saisie immeuble'!F25,Feuil1!$Q$57:$U$70,5,0)</f>
        <v>#N/A</v>
      </c>
      <c r="AX28" s="233" t="e">
        <f t="shared" si="12"/>
        <v>#N/A</v>
      </c>
    </row>
    <row r="29" spans="2:50" x14ac:dyDescent="0.25">
      <c r="B29" s="228" t="s">
        <v>104</v>
      </c>
      <c r="C29" s="184">
        <f>IF('Saisie immeuble'!D26=Feuil1!$B$4,4,IF(AND('Saisie immeuble'!D26=$B$5,('Saisie immeuble'!$C$4=Feuil1!$C$5)),5,IF(AND('Saisie immeuble'!D26=$B$5,('Saisie immeuble'!$C$4=Feuil1!$C$6)),6,IF(AND('Saisie immeuble'!D26=Feuil1!$B$7,('Saisie immeuble'!$C$4=Feuil1!$C$7)),7,IF(AND('Saisie immeuble'!D26=Feuil1!$B$7,('Saisie immeuble'!$C$4=Feuil1!$C$8)),8,0)))))</f>
        <v>0</v>
      </c>
      <c r="D29" s="223" t="e">
        <f>HLOOKUP('Saisie immeuble'!$C$3,Feuil1!$D$1:$BM$8,Feuil1!C29,0)</f>
        <v>#VALUE!</v>
      </c>
      <c r="E29" s="184">
        <f>HLOOKUP('Saisie immeuble'!$C$3,Feuil1!$D$1:$BM$8,3,0)</f>
        <v>3</v>
      </c>
      <c r="F29" s="184">
        <f>IF(E29=1,450+'Saisie immeuble'!C26*6,IF(E29=2,300+'Saisie immeuble'!C26*5,150+'Saisie immeuble'!C26*3))</f>
        <v>150</v>
      </c>
      <c r="G29" s="184">
        <f>IF(E29=1,1400+'Saisie immeuble'!C26*6,IF(E29=2,1100+'Saisie immeuble'!C26*6,500+'Saisie immeuble'!C26*6))</f>
        <v>500</v>
      </c>
      <c r="H29" s="223">
        <f>IF('Saisie immeuble'!$C$6="oui",IF('Saisie immeuble'!D26="dernier étage",IF(Feuil1!E29=1,0.4*Feuil1!D29,IF(Feuil1!E29=2,0.35*Feuil1!D29,IF(Feuil1!E29=3,0.3*Feuil1!D29,0))),0),0)</f>
        <v>0</v>
      </c>
      <c r="I29" s="223" t="e">
        <f>IF('Saisie immeuble'!$C$7="oui",IF(AND(Feuil1!E29=1,('Saisie immeuble'!$C$4=Feuil1!$C$5)),0.3*Feuil1!D29,IF(AND(Feuil1!E29=1,('Saisie immeuble'!$C$4=Feuil1!$C$6)),0.2*Feuil1!D29,IF(AND(Feuil1!E29=2,('Saisie immeuble'!$C$4=Feuil1!$C$5)),0.25*Feuil1!D29,IF(AND(Feuil1!E29=2,('Saisie immeuble'!$C$4=Feuil1!$C$6)),0.15*Feuil1!D29,IF(AND(Feuil1!E29=3,('Saisie immeuble'!$C$4=Feuil1!$C$5)),0.2*Feuil1!D29,IF(AND(Feuil1!E29=3,('Saisie immeuble'!$C$4=Feuil1!$C$6)),0.12*Feuil1!D29)))))),0)</f>
        <v>#VALUE!</v>
      </c>
      <c r="J29" s="223" t="e">
        <f>IF('Saisie immeuble'!$C$8="oui",IF(AND(Feuil1!E29=1,('Saisie immeuble'!$C$4=Feuil1!$C$5)),0.22*Feuil1!D29,IF(AND(Feuil1!E29=1,('Saisie immeuble'!$C$4=Feuil1!$C$6)),0.14*Feuil1!D29,IF(AND(Feuil1!E29=2,('Saisie immeuble'!$C$4=Feuil1!$C$5)),0.2*Feuil1!D29,IF(AND(Feuil1!E29=2,('Saisie immeuble'!$C$4=Feuil1!$C$6)),0.12*Feuil1!D29,IF(AND(Feuil1!E29=3,('Saisie immeuble'!$C$4=Feuil1!$C$5)),0.16*Feuil1!D29,IF(AND(Feuil1!E29=3,('Saisie immeuble'!$C$4=Feuil1!$C$6)),0.1*Feuil1!D29)))))),0)</f>
        <v>#VALUE!</v>
      </c>
      <c r="K29" s="223">
        <f>IF('Saisie immeuble'!$F$7="oui",IF('Saisie immeuble'!D26="rez de chaussée",IF(Feuil1!E29=1,0.2*Feuil1!D29,IF(Feuil1!E29=2,0.16*Feuil1!D29,IF(Feuil1!E29=3,0.12*Feuil1!D29,0))),0),0)</f>
        <v>0</v>
      </c>
      <c r="L29" s="184">
        <f>IF('Saisie immeuble'!C26&gt;0,IF('Saisie immeuble'!C26&gt;57,('Saisie immeuble'!C26-57)*55,('Saisie immeuble'!C26-57)*35),0)</f>
        <v>0</v>
      </c>
      <c r="M29" s="184">
        <f>IF('Saisie immeuble'!C26&gt;0,IF('Saisie immeuble'!$H$7=Feuil1!$B$78,IF(Feuil1!E29=1,700,IF(Feuil1!E29=2,550,400)),IF('Saisie immeuble'!$H$7=Feuil1!$B$79,IF(Feuil1!E29=1,350,IF(Feuil1!E29=2,275,200)),0))*(1-((57-'Saisie immeuble'!C26)/100)),0)</f>
        <v>0</v>
      </c>
      <c r="N29" s="223" t="e">
        <f>D29-IF('Saisie immeuble'!G26=Feuil1!$B$68,Feuil1!F29,IF('Saisie immeuble'!G26=Feuil1!$B$69,G29,0))-H29-I29-J29+L29-K29+M29</f>
        <v>#VALUE!</v>
      </c>
      <c r="O29" s="223" t="e">
        <f t="shared" si="9"/>
        <v>#VALUE!</v>
      </c>
      <c r="P29" s="223" t="e">
        <f>IF('Saisie immeuble'!$C$5="individuel",N29/AJ29,O29/AJ29)</f>
        <v>#VALUE!</v>
      </c>
      <c r="Q29" s="224" t="e">
        <f t="shared" si="10"/>
        <v>#VALUE!</v>
      </c>
      <c r="R29" s="228" t="e">
        <f>VLOOKUP('Saisie immeuble'!E26,Feuil1!$G$58:$I$75,3,0)</f>
        <v>#N/A</v>
      </c>
      <c r="S29" s="184" t="e">
        <f>VLOOKUP('Saisie immeuble'!F26,Feuil1!$Q$57:$U$70,5,0)</f>
        <v>#N/A</v>
      </c>
      <c r="T29" s="184" t="e">
        <f>IF(AND(R29&lt;&gt;"élec",(S29&lt;&gt;"élec"),('Saisie immeuble'!C26&lt;40)),'Référence&amp;tarifs'!$A$6,IF(AND(R29="élec",(S29="élec")),'Référence&amp;tarifs'!$A$8,'Référence&amp;tarifs'!$A$7))</f>
        <v>#N/A</v>
      </c>
      <c r="U29" s="184" t="e">
        <f>VLOOKUP(T29,'Référence&amp;tarifs'!$A$6:$C$10,2,0)</f>
        <v>#N/A</v>
      </c>
      <c r="V29" s="184" t="e">
        <f>VLOOKUP(T29,'Référence&amp;tarifs'!$A$6:$C$10,3,0)</f>
        <v>#N/A</v>
      </c>
      <c r="W29" s="184"/>
      <c r="X29" s="236" t="e">
        <f>IF('Résultat immeuble'!S20&lt;1.1,HLOOKUP(Feuil1!T29,'Référence&amp;tarifs'!#REF!,2,0),IF('Résultat immeuble'!S20&gt;1.9,HLOOKUP(Feuil1!T29,'Référence&amp;tarifs'!#REF!,4,0),HLOOKUP(Feuil1!T29,'Référence&amp;tarifs'!#REF!,3,0)))</f>
        <v>#N/A</v>
      </c>
      <c r="Y29" s="228" t="e">
        <f>IF(R29="gaz",N29,0)+IF(S29="gaz",AT29,0)+IF('Saisie immeuble'!H26="gaz de ville",Feuil1!AH29,0)</f>
        <v>#N/A</v>
      </c>
      <c r="Z29" s="184" t="e">
        <f>IF(Y29&lt;1000,'Référence&amp;tarifs'!$A$16,IF(Y29&gt;5999,'Référence&amp;tarifs'!$A$18,'Référence&amp;tarifs'!$A$17))</f>
        <v>#N/A</v>
      </c>
      <c r="AA29" s="184" t="e">
        <f>VLOOKUP(Z29,'Référence&amp;tarifs'!$A$16:$C$18,2,0)</f>
        <v>#N/A</v>
      </c>
      <c r="AB29" s="184" t="e">
        <f>VLOOKUP(Z29,'Référence&amp;tarifs'!$A$16:$C$18,3,0)</f>
        <v>#N/A</v>
      </c>
      <c r="AC29" s="229" t="e">
        <f>IF('Saisie immeuble'!$C$5="individuel",IF('Résultat immeuble'!S20=1,HLOOKUP(Feuil1!Z29,'Référence&amp;tarifs'!#REF!,2,0),IF('Résultat immeuble'!S20&gt;1.9,HLOOKUP(Feuil1!Z29,'Référence&amp;tarifs'!#REF!,4,0),HLOOKUP(Feuil1!Z29,'Référence&amp;tarifs'!#REF!,3,0))),IF('Saisie immeuble'!$C$5="collectif",IF('Résultat immeuble'!S20=1,'Référence&amp;tarifs'!#REF!,IF('Résultat immeuble'!S20&gt;1.9,'Référence&amp;tarifs'!#REF!,IF(AND('Résultat immeuble'!S20&lt;2,('Résultat immeuble'!S20&gt;1)),'Référence&amp;tarifs'!#REF!,0)))))</f>
        <v>#N/A</v>
      </c>
      <c r="AD29" s="230">
        <f>IF('Saisie immeuble'!I26+'Saisie immeuble'!J26&gt;0,18*'Saisie immeuble'!C26+3.5*('Saisie immeuble'!I26+'Saisie immeuble'!J26-1)*'Saisie immeuble'!C26,0)</f>
        <v>0</v>
      </c>
      <c r="AE29" s="231"/>
      <c r="AF29" s="232"/>
      <c r="AG29" s="233" t="e">
        <f t="shared" si="11"/>
        <v>#N/A</v>
      </c>
      <c r="AH29" s="228">
        <f>IF('Saisie immeuble'!I26+'Saisie immeuble'!J26&gt;0,350+80*('Saisie immeuble'!I26+'Saisie immeuble'!J26-1),0)</f>
        <v>0</v>
      </c>
      <c r="AI29" s="233" t="e">
        <f>IF('Saisie immeuble'!H26="gaz de ville",Feuil1!AB29,IF('Saisie immeuble'!H26=$B$72,V29,0))*Feuil1!AH29+IF(AND(R29&lt;&gt;"gaz",(S29&lt;&gt;"gaz"),('Saisie immeuble'!H26="gaz de ville")),Feuil1!AA29,0)</f>
        <v>#N/A</v>
      </c>
      <c r="AJ29" s="228" t="e">
        <f>VLOOKUP('Saisie immeuble'!E26,Feuil1!$G$58:$I$75,2,0)</f>
        <v>#N/A</v>
      </c>
      <c r="AK29" s="184" t="e">
        <f>VLOOKUP('Saisie immeuble'!E26,Feuil1!$G$58:$I$75,3,0)</f>
        <v>#N/A</v>
      </c>
      <c r="AL29" s="234" t="e">
        <f>IF(AK29="élec",V29,IF(AK29="gaz",AB29,IF(AK29="fioul",'Référence&amp;tarifs'!$B$25,IF(AK29="bois buche",'Référence&amp;tarifs'!$B$23,IF(AK29="bois granulés",'Référence&amp;tarifs'!$B$24,IF(AK29=I73,0.8*('Référence&amp;tarifs'!$B$23+'Référence&amp;tarifs'!B31)/2+0.2*Feuil1!AB29,0))))))</f>
        <v>#N/A</v>
      </c>
      <c r="AM29" s="228">
        <f>IF('Saisie immeuble'!I26+'Saisie immeuble'!J26&gt;0,Feuil1!$AM$13+2*('Saisie immeuble'!I26+'Saisie immeuble'!J26-1),0)</f>
        <v>0</v>
      </c>
      <c r="AN29" s="184">
        <f>IF('Saisie immeuble'!I26+'Saisie immeuble'!J26&gt;0,Feuil1!$AN$13*('Saisie immeuble'!I26+'Saisie immeuble'!J26),0)</f>
        <v>0</v>
      </c>
      <c r="AO29" s="184">
        <f>IF('Saisie immeuble'!I26+'Saisie immeuble'!J26&gt;0,Feuil1!$AO$13+3*('Saisie immeuble'!I26+'Saisie immeuble'!J26-1),0)</f>
        <v>0</v>
      </c>
      <c r="AP29" s="184">
        <f>IF('Saisie immeuble'!I26+'Saisie immeuble'!J26&gt;0,Feuil1!$AP$13+2*('Saisie immeuble'!I26+'Saisie immeuble'!J26-1),0)</f>
        <v>0</v>
      </c>
      <c r="AQ29" s="184">
        <f>IF('Saisie immeuble'!I26+'Saisie immeuble'!J26&gt;0,Feuil1!$AQ$13*('Saisie immeuble'!I26+'Saisie immeuble'!J26),0)</f>
        <v>0</v>
      </c>
      <c r="AR29" s="184">
        <f t="shared" si="8"/>
        <v>0</v>
      </c>
      <c r="AS29" s="224" t="e">
        <f>AR29*'Saisie immeuble'!$F$8+IF(AND(R29&lt;&gt;"gaz",(S29="gaz")),AA29,0)</f>
        <v>#N/A</v>
      </c>
      <c r="AT29" s="228">
        <f>IF('Saisie immeuble'!I26+'Saisie immeuble'!J26&gt;0,1100+700*('Saisie immeuble'!I26+'Saisie immeuble'!J26-1),0)</f>
        <v>0</v>
      </c>
      <c r="AU29" s="235" t="e">
        <f>IF(AW29="élec",Feuil1!V29,IF(AW29="gaz",Feuil1!AB29,IF(AW29="fioul",'Référence&amp;tarifs'!$B$25,IF(AW29="bois",('Référence&amp;tarifs'!$B$23+'Référence&amp;tarifs'!$B$24)/2,0))))</f>
        <v>#N/A</v>
      </c>
      <c r="AV29" s="184" t="e">
        <f>VLOOKUP('Saisie immeuble'!F26,Feuil1!$Q$57:$U$70,4,0)</f>
        <v>#N/A</v>
      </c>
      <c r="AW29" s="184" t="e">
        <f>VLOOKUP('Saisie immeuble'!F26,Feuil1!$Q$57:$U$70,5,0)</f>
        <v>#N/A</v>
      </c>
      <c r="AX29" s="233" t="e">
        <f t="shared" si="12"/>
        <v>#N/A</v>
      </c>
    </row>
    <row r="30" spans="2:50" x14ac:dyDescent="0.25">
      <c r="B30" s="228" t="s">
        <v>105</v>
      </c>
      <c r="C30" s="184">
        <f>IF('Saisie immeuble'!D27=Feuil1!$B$4,4,IF(AND('Saisie immeuble'!D27=$B$5,('Saisie immeuble'!$C$4=Feuil1!$C$5)),5,IF(AND('Saisie immeuble'!D27=$B$5,('Saisie immeuble'!$C$4=Feuil1!$C$6)),6,IF(AND('Saisie immeuble'!D27=Feuil1!$B$7,('Saisie immeuble'!$C$4=Feuil1!$C$7)),7,IF(AND('Saisie immeuble'!D27=Feuil1!$B$7,('Saisie immeuble'!$C$4=Feuil1!$C$8)),8,0)))))</f>
        <v>0</v>
      </c>
      <c r="D30" s="223" t="e">
        <f>HLOOKUP('Saisie immeuble'!$C$3,Feuil1!$D$1:$BM$8,Feuil1!C30,0)</f>
        <v>#VALUE!</v>
      </c>
      <c r="E30" s="184">
        <f>HLOOKUP('Saisie immeuble'!$C$3,Feuil1!$D$1:$BM$8,3,0)</f>
        <v>3</v>
      </c>
      <c r="F30" s="184">
        <f>IF(E30=1,450+'Saisie immeuble'!C27*6,IF(E30=2,300+'Saisie immeuble'!C27*5,150+'Saisie immeuble'!C27*3))</f>
        <v>150</v>
      </c>
      <c r="G30" s="184">
        <f>IF(E30=1,1400+'Saisie immeuble'!C27*6,IF(E30=2,1100+'Saisie immeuble'!C27*6,500+'Saisie immeuble'!C27*6))</f>
        <v>500</v>
      </c>
      <c r="H30" s="223">
        <f>IF('Saisie immeuble'!$C$6="oui",IF('Saisie immeuble'!D27="dernier étage",IF(Feuil1!E30=1,0.4*Feuil1!D30,IF(Feuil1!E30=2,0.35*Feuil1!D30,IF(Feuil1!E30=3,0.3*Feuil1!D30,0))),0),0)</f>
        <v>0</v>
      </c>
      <c r="I30" s="223" t="e">
        <f>IF('Saisie immeuble'!$C$7="oui",IF(AND(Feuil1!E30=1,('Saisie immeuble'!$C$4=Feuil1!$C$5)),0.3*Feuil1!D30,IF(AND(Feuil1!E30=1,('Saisie immeuble'!$C$4=Feuil1!$C$6)),0.2*Feuil1!D30,IF(AND(Feuil1!E30=2,('Saisie immeuble'!$C$4=Feuil1!$C$5)),0.25*Feuil1!D30,IF(AND(Feuil1!E30=2,('Saisie immeuble'!$C$4=Feuil1!$C$6)),0.15*Feuil1!D30,IF(AND(Feuil1!E30=3,('Saisie immeuble'!$C$4=Feuil1!$C$5)),0.2*Feuil1!D30,IF(AND(Feuil1!E30=3,('Saisie immeuble'!$C$4=Feuil1!$C$6)),0.12*Feuil1!D30)))))),0)</f>
        <v>#VALUE!</v>
      </c>
      <c r="J30" s="223" t="e">
        <f>IF('Saisie immeuble'!$C$8="oui",IF(AND(Feuil1!E30=1,('Saisie immeuble'!$C$4=Feuil1!$C$5)),0.22*Feuil1!D30,IF(AND(Feuil1!E30=1,('Saisie immeuble'!$C$4=Feuil1!$C$6)),0.14*Feuil1!D30,IF(AND(Feuil1!E30=2,('Saisie immeuble'!$C$4=Feuil1!$C$5)),0.2*Feuil1!D30,IF(AND(Feuil1!E30=2,('Saisie immeuble'!$C$4=Feuil1!$C$6)),0.12*Feuil1!D30,IF(AND(Feuil1!E30=3,('Saisie immeuble'!$C$4=Feuil1!$C$5)),0.16*Feuil1!D30,IF(AND(Feuil1!E30=3,('Saisie immeuble'!$C$4=Feuil1!$C$6)),0.1*Feuil1!D30)))))),0)</f>
        <v>#VALUE!</v>
      </c>
      <c r="K30" s="223">
        <f>IF('Saisie immeuble'!$F$7="oui",IF('Saisie immeuble'!D27="rez de chaussée",IF(Feuil1!E30=1,0.2*Feuil1!D30,IF(Feuil1!E30=2,0.16*Feuil1!D30,IF(Feuil1!E30=3,0.12*Feuil1!D30,0))),0),0)</f>
        <v>0</v>
      </c>
      <c r="L30" s="184">
        <f>IF('Saisie immeuble'!C27&gt;0,IF('Saisie immeuble'!C27&gt;57,('Saisie immeuble'!C27-57)*55,('Saisie immeuble'!C27-57)*35),0)</f>
        <v>0</v>
      </c>
      <c r="M30" s="184">
        <f>IF('Saisie immeuble'!C27&gt;0,IF('Saisie immeuble'!$H$7=Feuil1!$B$78,IF(Feuil1!E30=1,700,IF(Feuil1!E30=2,550,400)),IF('Saisie immeuble'!$H$7=Feuil1!$B$79,IF(Feuil1!E30=1,350,IF(Feuil1!E30=2,275,200)),0))*(1-((57-'Saisie immeuble'!C27)/100)),0)</f>
        <v>0</v>
      </c>
      <c r="N30" s="223" t="e">
        <f>D30-IF('Saisie immeuble'!G27=Feuil1!$B$68,Feuil1!F30,IF('Saisie immeuble'!G27=Feuil1!$B$69,G30,0))-H30-I30-J30+L30-K30+M30</f>
        <v>#VALUE!</v>
      </c>
      <c r="O30" s="223" t="e">
        <f t="shared" si="9"/>
        <v>#VALUE!</v>
      </c>
      <c r="P30" s="223" t="e">
        <f>IF('Saisie immeuble'!$C$5="individuel",N30/AJ30,O30/AJ30)</f>
        <v>#VALUE!</v>
      </c>
      <c r="Q30" s="224" t="e">
        <f t="shared" si="10"/>
        <v>#VALUE!</v>
      </c>
      <c r="R30" s="228" t="e">
        <f>VLOOKUP('Saisie immeuble'!E27,Feuil1!$G$58:$I$75,3,0)</f>
        <v>#N/A</v>
      </c>
      <c r="S30" s="184" t="e">
        <f>VLOOKUP('Saisie immeuble'!F27,Feuil1!$Q$57:$U$70,5,0)</f>
        <v>#N/A</v>
      </c>
      <c r="T30" s="184" t="e">
        <f>IF(AND(R30&lt;&gt;"élec",(S30&lt;&gt;"élec"),('Saisie immeuble'!C27&lt;40)),'Référence&amp;tarifs'!$A$6,IF(AND(R30="élec",(S30="élec")),'Référence&amp;tarifs'!$A$8,'Référence&amp;tarifs'!$A$7))</f>
        <v>#N/A</v>
      </c>
      <c r="U30" s="184" t="e">
        <f>VLOOKUP(T30,'Référence&amp;tarifs'!$A$6:$C$10,2,0)</f>
        <v>#N/A</v>
      </c>
      <c r="V30" s="184" t="e">
        <f>VLOOKUP(T30,'Référence&amp;tarifs'!$A$6:$C$10,3,0)</f>
        <v>#N/A</v>
      </c>
      <c r="W30" s="184"/>
      <c r="X30" s="236" t="e">
        <f>IF('Résultat immeuble'!S21&lt;1.1,HLOOKUP(Feuil1!T30,'Référence&amp;tarifs'!#REF!,2,0),IF('Résultat immeuble'!S21&gt;1.9,HLOOKUP(Feuil1!T30,'Référence&amp;tarifs'!#REF!,4,0),HLOOKUP(Feuil1!T30,'Référence&amp;tarifs'!#REF!,3,0)))</f>
        <v>#N/A</v>
      </c>
      <c r="Y30" s="228" t="e">
        <f>IF(R30="gaz",N30,0)+IF(S30="gaz",AT30,0)+IF('Saisie immeuble'!H27="gaz de ville",Feuil1!AH30,0)</f>
        <v>#N/A</v>
      </c>
      <c r="Z30" s="184" t="e">
        <f>IF(Y30&lt;1000,'Référence&amp;tarifs'!$A$16,IF(Y30&gt;5999,'Référence&amp;tarifs'!$A$18,'Référence&amp;tarifs'!$A$17))</f>
        <v>#N/A</v>
      </c>
      <c r="AA30" s="184" t="e">
        <f>VLOOKUP(Z30,'Référence&amp;tarifs'!$A$16:$C$18,2,0)</f>
        <v>#N/A</v>
      </c>
      <c r="AB30" s="184" t="e">
        <f>VLOOKUP(Z30,'Référence&amp;tarifs'!$A$16:$C$18,3,0)</f>
        <v>#N/A</v>
      </c>
      <c r="AC30" s="229" t="e">
        <f>IF('Saisie immeuble'!$C$5="individuel",IF('Résultat immeuble'!S21=1,HLOOKUP(Feuil1!Z30,'Référence&amp;tarifs'!#REF!,2,0),IF('Résultat immeuble'!S21&gt;1.9,HLOOKUP(Feuil1!Z30,'Référence&amp;tarifs'!#REF!,4,0),HLOOKUP(Feuil1!Z30,'Référence&amp;tarifs'!#REF!,3,0))),IF('Saisie immeuble'!$C$5="collectif",IF('Résultat immeuble'!S21=1,'Référence&amp;tarifs'!#REF!,IF('Résultat immeuble'!S21&gt;1.9,'Référence&amp;tarifs'!#REF!,IF(AND('Résultat immeuble'!S21&lt;2,('Résultat immeuble'!S21&gt;1)),'Référence&amp;tarifs'!#REF!,0)))))</f>
        <v>#N/A</v>
      </c>
      <c r="AD30" s="230">
        <f>IF('Saisie immeuble'!I27+'Saisie immeuble'!J27&gt;0,18*'Saisie immeuble'!C27+3.5*('Saisie immeuble'!I27+'Saisie immeuble'!J27-1)*'Saisie immeuble'!C27,0)</f>
        <v>0</v>
      </c>
      <c r="AE30" s="231"/>
      <c r="AF30" s="232"/>
      <c r="AG30" s="233" t="e">
        <f t="shared" si="11"/>
        <v>#N/A</v>
      </c>
      <c r="AH30" s="228">
        <f>IF('Saisie immeuble'!I27+'Saisie immeuble'!J27&gt;0,350+80*('Saisie immeuble'!I27+'Saisie immeuble'!J27-1),0)</f>
        <v>0</v>
      </c>
      <c r="AI30" s="233" t="e">
        <f>IF('Saisie immeuble'!H27="gaz de ville",Feuil1!AB30,IF('Saisie immeuble'!H27=$B$72,V30,0))*Feuil1!AH30+IF(AND(R30&lt;&gt;"gaz",(S30&lt;&gt;"gaz"),('Saisie immeuble'!H27="gaz de ville")),Feuil1!AA30,0)</f>
        <v>#N/A</v>
      </c>
      <c r="AJ30" s="228" t="e">
        <f>VLOOKUP('Saisie immeuble'!E27,Feuil1!$G$58:$I$75,2,0)</f>
        <v>#N/A</v>
      </c>
      <c r="AK30" s="184" t="e">
        <f>VLOOKUP('Saisie immeuble'!E27,Feuil1!$G$58:$I$75,3,0)</f>
        <v>#N/A</v>
      </c>
      <c r="AL30" s="234" t="e">
        <f>IF(AK30="élec",V30,IF(AK30="gaz",AB30,IF(AK30="fioul",'Référence&amp;tarifs'!$B$25,IF(AK30="bois buche",'Référence&amp;tarifs'!$B$23,IF(AK30="bois granulés",'Référence&amp;tarifs'!$B$24,IF(AK30=I74,0.8*('Référence&amp;tarifs'!$B$23+'Référence&amp;tarifs'!B32)/2+0.2*Feuil1!AB30,0))))))</f>
        <v>#N/A</v>
      </c>
      <c r="AM30" s="228">
        <f>IF('Saisie immeuble'!I27+'Saisie immeuble'!J27&gt;0,Feuil1!$AM$13+2*('Saisie immeuble'!I27+'Saisie immeuble'!J27-1),0)</f>
        <v>0</v>
      </c>
      <c r="AN30" s="184">
        <f>IF('Saisie immeuble'!I27+'Saisie immeuble'!J27&gt;0,Feuil1!$AN$13*('Saisie immeuble'!I27+'Saisie immeuble'!J27),0)</f>
        <v>0</v>
      </c>
      <c r="AO30" s="184">
        <f>IF('Saisie immeuble'!I27+'Saisie immeuble'!J27&gt;0,Feuil1!$AO$13+3*('Saisie immeuble'!I27+'Saisie immeuble'!J27-1),0)</f>
        <v>0</v>
      </c>
      <c r="AP30" s="184">
        <f>IF('Saisie immeuble'!I27+'Saisie immeuble'!J27&gt;0,Feuil1!$AP$13+2*('Saisie immeuble'!I27+'Saisie immeuble'!J27-1),0)</f>
        <v>0</v>
      </c>
      <c r="AQ30" s="184">
        <f>IF('Saisie immeuble'!I27+'Saisie immeuble'!J27&gt;0,Feuil1!$AQ$13*('Saisie immeuble'!I27+'Saisie immeuble'!J27),0)</f>
        <v>0</v>
      </c>
      <c r="AR30" s="184">
        <f t="shared" si="8"/>
        <v>0</v>
      </c>
      <c r="AS30" s="224" t="e">
        <f>AR30*'Saisie immeuble'!$F$8+IF(AND(R30&lt;&gt;"gaz",(S30="gaz")),AA30,0)</f>
        <v>#N/A</v>
      </c>
      <c r="AT30" s="228">
        <f>IF('Saisie immeuble'!I27+'Saisie immeuble'!J27&gt;0,1100+700*('Saisie immeuble'!I27+'Saisie immeuble'!J27-1),0)</f>
        <v>0</v>
      </c>
      <c r="AU30" s="235" t="e">
        <f>IF(AW30="élec",Feuil1!V30,IF(AW30="gaz",Feuil1!AB30,IF(AW30="fioul",'Référence&amp;tarifs'!$B$25,IF(AW30="bois",('Référence&amp;tarifs'!$B$23+'Référence&amp;tarifs'!$B$24)/2,0))))</f>
        <v>#N/A</v>
      </c>
      <c r="AV30" s="184" t="e">
        <f>VLOOKUP('Saisie immeuble'!F27,Feuil1!$Q$57:$U$70,4,0)</f>
        <v>#N/A</v>
      </c>
      <c r="AW30" s="184" t="e">
        <f>VLOOKUP('Saisie immeuble'!F27,Feuil1!$Q$57:$U$70,5,0)</f>
        <v>#N/A</v>
      </c>
      <c r="AX30" s="233" t="e">
        <f t="shared" si="12"/>
        <v>#N/A</v>
      </c>
    </row>
    <row r="31" spans="2:50" x14ac:dyDescent="0.25">
      <c r="B31" s="228" t="s">
        <v>106</v>
      </c>
      <c r="C31" s="184">
        <f>IF('Saisie immeuble'!D28=Feuil1!$B$4,4,IF(AND('Saisie immeuble'!D28=$B$5,('Saisie immeuble'!$C$4=Feuil1!$C$5)),5,IF(AND('Saisie immeuble'!D28=$B$5,('Saisie immeuble'!$C$4=Feuil1!$C$6)),6,IF(AND('Saisie immeuble'!D28=Feuil1!$B$7,('Saisie immeuble'!$C$4=Feuil1!$C$7)),7,IF(AND('Saisie immeuble'!D28=Feuil1!$B$7,('Saisie immeuble'!$C$4=Feuil1!$C$8)),8,0)))))</f>
        <v>0</v>
      </c>
      <c r="D31" s="223" t="e">
        <f>HLOOKUP('Saisie immeuble'!$C$3,Feuil1!$D$1:$BM$8,Feuil1!C31,0)</f>
        <v>#VALUE!</v>
      </c>
      <c r="E31" s="184">
        <f>HLOOKUP('Saisie immeuble'!$C$3,Feuil1!$D$1:$BM$8,3,0)</f>
        <v>3</v>
      </c>
      <c r="F31" s="184">
        <f>IF(E31=1,450+'Saisie immeuble'!C28*6,IF(E31=2,300+'Saisie immeuble'!C28*5,150+'Saisie immeuble'!C28*3))</f>
        <v>150</v>
      </c>
      <c r="G31" s="184">
        <f>IF(E31=1,1400+'Saisie immeuble'!C28*6,IF(E31=2,1100+'Saisie immeuble'!C28*6,500+'Saisie immeuble'!C28*6))</f>
        <v>500</v>
      </c>
      <c r="H31" s="223">
        <f>IF('Saisie immeuble'!$C$6="oui",IF('Saisie immeuble'!D28="dernier étage",IF(Feuil1!E31=1,0.4*Feuil1!D31,IF(Feuil1!E31=2,0.35*Feuil1!D31,IF(Feuil1!E31=3,0.3*Feuil1!D31,0))),0),0)</f>
        <v>0</v>
      </c>
      <c r="I31" s="223" t="e">
        <f>IF('Saisie immeuble'!$C$7="oui",IF(AND(Feuil1!E31=1,('Saisie immeuble'!$C$4=Feuil1!$C$5)),0.3*Feuil1!D31,IF(AND(Feuil1!E31=1,('Saisie immeuble'!$C$4=Feuil1!$C$6)),0.2*Feuil1!D31,IF(AND(Feuil1!E31=2,('Saisie immeuble'!$C$4=Feuil1!$C$5)),0.25*Feuil1!D31,IF(AND(Feuil1!E31=2,('Saisie immeuble'!$C$4=Feuil1!$C$6)),0.15*Feuil1!D31,IF(AND(Feuil1!E31=3,('Saisie immeuble'!$C$4=Feuil1!$C$5)),0.2*Feuil1!D31,IF(AND(Feuil1!E31=3,('Saisie immeuble'!$C$4=Feuil1!$C$6)),0.12*Feuil1!D31)))))),0)</f>
        <v>#VALUE!</v>
      </c>
      <c r="J31" s="223" t="e">
        <f>IF('Saisie immeuble'!$C$8="oui",IF(AND(Feuil1!E31=1,('Saisie immeuble'!$C$4=Feuil1!$C$5)),0.22*Feuil1!D31,IF(AND(Feuil1!E31=1,('Saisie immeuble'!$C$4=Feuil1!$C$6)),0.14*Feuil1!D31,IF(AND(Feuil1!E31=2,('Saisie immeuble'!$C$4=Feuil1!$C$5)),0.2*Feuil1!D31,IF(AND(Feuil1!E31=2,('Saisie immeuble'!$C$4=Feuil1!$C$6)),0.12*Feuil1!D31,IF(AND(Feuil1!E31=3,('Saisie immeuble'!$C$4=Feuil1!$C$5)),0.16*Feuil1!D31,IF(AND(Feuil1!E31=3,('Saisie immeuble'!$C$4=Feuil1!$C$6)),0.1*Feuil1!D31)))))),0)</f>
        <v>#VALUE!</v>
      </c>
      <c r="K31" s="223">
        <f>IF('Saisie immeuble'!$F$7="oui",IF('Saisie immeuble'!D28="rez de chaussée",IF(Feuil1!E31=1,0.2*Feuil1!D31,IF(Feuil1!E31=2,0.16*Feuil1!D31,IF(Feuil1!E31=3,0.12*Feuil1!D31,0))),0),0)</f>
        <v>0</v>
      </c>
      <c r="L31" s="184">
        <f>IF('Saisie immeuble'!C28&gt;0,IF('Saisie immeuble'!C28&gt;57,('Saisie immeuble'!C28-57)*55,('Saisie immeuble'!C28-57)*35),0)</f>
        <v>0</v>
      </c>
      <c r="M31" s="184">
        <f>IF('Saisie immeuble'!C28&gt;0,IF('Saisie immeuble'!$H$7=Feuil1!$B$78,IF(Feuil1!E31=1,700,IF(Feuil1!E31=2,550,400)),IF('Saisie immeuble'!$H$7=Feuil1!$B$79,IF(Feuil1!E31=1,350,IF(Feuil1!E31=2,275,200)),0))*(1-((57-'Saisie immeuble'!C28)/100)),0)</f>
        <v>0</v>
      </c>
      <c r="N31" s="223" t="e">
        <f>D31-IF('Saisie immeuble'!G28=Feuil1!$B$68,Feuil1!F31,IF('Saisie immeuble'!G28=Feuil1!$B$69,G31,0))-H31-I31-J31+L31-K31+M31</f>
        <v>#VALUE!</v>
      </c>
      <c r="O31" s="223" t="e">
        <f t="shared" si="9"/>
        <v>#VALUE!</v>
      </c>
      <c r="P31" s="223" t="e">
        <f>IF('Saisie immeuble'!$C$5="individuel",N31/AJ31,O31/AJ31)</f>
        <v>#VALUE!</v>
      </c>
      <c r="Q31" s="224" t="e">
        <f t="shared" si="10"/>
        <v>#VALUE!</v>
      </c>
      <c r="R31" s="228" t="e">
        <f>VLOOKUP('Saisie immeuble'!E28,Feuil1!$G$58:$I$75,3,0)</f>
        <v>#N/A</v>
      </c>
      <c r="S31" s="184" t="e">
        <f>VLOOKUP('Saisie immeuble'!F28,Feuil1!$Q$57:$U$70,5,0)</f>
        <v>#N/A</v>
      </c>
      <c r="T31" s="184" t="e">
        <f>IF(AND(R31&lt;&gt;"élec",(S31&lt;&gt;"élec"),('Saisie immeuble'!C28&lt;40)),'Référence&amp;tarifs'!$A$6,IF(AND(R31="élec",(S31="élec")),'Référence&amp;tarifs'!$A$8,'Référence&amp;tarifs'!$A$7))</f>
        <v>#N/A</v>
      </c>
      <c r="U31" s="184" t="e">
        <f>VLOOKUP(T31,'Référence&amp;tarifs'!$A$6:$C$10,2,0)</f>
        <v>#N/A</v>
      </c>
      <c r="V31" s="184" t="e">
        <f>VLOOKUP(T31,'Référence&amp;tarifs'!$A$6:$C$10,3,0)</f>
        <v>#N/A</v>
      </c>
      <c r="W31" s="184"/>
      <c r="X31" s="236" t="e">
        <f>IF('Résultat immeuble'!#REF!&lt;1.1,HLOOKUP(Feuil1!T31,'Référence&amp;tarifs'!#REF!,2,0),IF('Résultat immeuble'!#REF!&gt;1.9,HLOOKUP(Feuil1!T31,'Référence&amp;tarifs'!#REF!,4,0),HLOOKUP(Feuil1!T31,'Référence&amp;tarifs'!#REF!,3,0)))</f>
        <v>#REF!</v>
      </c>
      <c r="Y31" s="228" t="e">
        <f>IF(R31="gaz",N31,0)+IF(S31="gaz",AT31,0)+IF('Saisie immeuble'!H28="gaz de ville",Feuil1!AH31,0)</f>
        <v>#N/A</v>
      </c>
      <c r="Z31" s="184" t="e">
        <f>IF(Y31&lt;1000,'Référence&amp;tarifs'!$A$16,IF(Y31&gt;5999,'Référence&amp;tarifs'!$A$18,'Référence&amp;tarifs'!$A$17))</f>
        <v>#N/A</v>
      </c>
      <c r="AA31" s="184" t="e">
        <f>VLOOKUP(Z31,'Référence&amp;tarifs'!$A$16:$C$18,2,0)</f>
        <v>#N/A</v>
      </c>
      <c r="AB31" s="184" t="e">
        <f>VLOOKUP(Z31,'Référence&amp;tarifs'!$A$16:$C$18,3,0)</f>
        <v>#N/A</v>
      </c>
      <c r="AC31" s="229" t="e">
        <f>IF('Saisie immeuble'!$C$5="individuel",IF('Résultat immeuble'!#REF!=1,HLOOKUP(Feuil1!Z31,'Référence&amp;tarifs'!#REF!,2,0),IF('Résultat immeuble'!#REF!&gt;1.9,HLOOKUP(Feuil1!Z31,'Référence&amp;tarifs'!#REF!,4,0),HLOOKUP(Feuil1!Z31,'Référence&amp;tarifs'!#REF!,3,0))),IF('Saisie immeuble'!$C$5="collectif",IF('Résultat immeuble'!#REF!=1,'Référence&amp;tarifs'!#REF!,IF('Résultat immeuble'!#REF!&gt;1.9,'Référence&amp;tarifs'!#REF!,IF(AND('Résultat immeuble'!#REF!&lt;2,('Résultat immeuble'!#REF!&gt;1)),'Référence&amp;tarifs'!#REF!,0)))))</f>
        <v>#REF!</v>
      </c>
      <c r="AD31" s="230">
        <f>IF('Saisie immeuble'!I28+'Saisie immeuble'!J28&gt;0,18*'Saisie immeuble'!C28+3.5*('Saisie immeuble'!I28+'Saisie immeuble'!J28-1)*'Saisie immeuble'!C28,0)</f>
        <v>0</v>
      </c>
      <c r="AE31" s="231"/>
      <c r="AF31" s="232"/>
      <c r="AG31" s="233" t="e">
        <f t="shared" si="11"/>
        <v>#N/A</v>
      </c>
      <c r="AH31" s="228">
        <f>IF('Saisie immeuble'!I28+'Saisie immeuble'!J28&gt;0,350+80*('Saisie immeuble'!I28+'Saisie immeuble'!J28-1),0)</f>
        <v>0</v>
      </c>
      <c r="AI31" s="233" t="e">
        <f>IF('Saisie immeuble'!H28="gaz de ville",Feuil1!AB31,IF('Saisie immeuble'!H28=$B$72,V31,0))*Feuil1!AH31+IF(AND(R31&lt;&gt;"gaz",(S31&lt;&gt;"gaz"),('Saisie immeuble'!H28="gaz de ville")),Feuil1!AA31,0)</f>
        <v>#N/A</v>
      </c>
      <c r="AJ31" s="228" t="e">
        <f>VLOOKUP('Saisie immeuble'!E28,Feuil1!$G$58:$I$75,2,0)</f>
        <v>#N/A</v>
      </c>
      <c r="AK31" s="184" t="e">
        <f>VLOOKUP('Saisie immeuble'!E28,Feuil1!$G$58:$I$75,3,0)</f>
        <v>#N/A</v>
      </c>
      <c r="AL31" s="234" t="e">
        <f>IF(AK31="élec",V31,IF(AK31="gaz",AB31,IF(AK31="fioul",'Référence&amp;tarifs'!$B$25,IF(AK31="bois buche",'Référence&amp;tarifs'!$B$23,IF(AK31="bois granulés",'Référence&amp;tarifs'!$B$24,IF(AK31=I75,0.8*('Référence&amp;tarifs'!$B$23+'Référence&amp;tarifs'!B33)/2+0.2*Feuil1!AB31,0))))))</f>
        <v>#N/A</v>
      </c>
      <c r="AM31" s="228">
        <f>IF('Saisie immeuble'!I28+'Saisie immeuble'!J28&gt;0,Feuil1!$AM$13+2*('Saisie immeuble'!I28+'Saisie immeuble'!J28-1),0)</f>
        <v>0</v>
      </c>
      <c r="AN31" s="184">
        <f>IF('Saisie immeuble'!I28+'Saisie immeuble'!J28&gt;0,Feuil1!$AN$13*('Saisie immeuble'!I28+'Saisie immeuble'!J28),0)</f>
        <v>0</v>
      </c>
      <c r="AO31" s="184">
        <f>IF('Saisie immeuble'!I28+'Saisie immeuble'!J28&gt;0,Feuil1!$AO$13+3*('Saisie immeuble'!I28+'Saisie immeuble'!J28-1),0)</f>
        <v>0</v>
      </c>
      <c r="AP31" s="184">
        <f>IF('Saisie immeuble'!I28+'Saisie immeuble'!J28&gt;0,Feuil1!$AP$13+2*('Saisie immeuble'!I28+'Saisie immeuble'!J28-1),0)</f>
        <v>0</v>
      </c>
      <c r="AQ31" s="184">
        <f>IF('Saisie immeuble'!I28+'Saisie immeuble'!J28&gt;0,Feuil1!$AQ$13*('Saisie immeuble'!I28+'Saisie immeuble'!J28),0)</f>
        <v>0</v>
      </c>
      <c r="AR31" s="184">
        <f t="shared" si="8"/>
        <v>0</v>
      </c>
      <c r="AS31" s="224" t="e">
        <f>AR31*'Saisie immeuble'!$F$8+IF(AND(R31&lt;&gt;"gaz",(S31="gaz")),AA31,0)</f>
        <v>#N/A</v>
      </c>
      <c r="AT31" s="228">
        <f>IF('Saisie immeuble'!I28+'Saisie immeuble'!J28&gt;0,1100+700*('Saisie immeuble'!I28+'Saisie immeuble'!J28-1),0)</f>
        <v>0</v>
      </c>
      <c r="AU31" s="235" t="e">
        <f>IF(AW31="élec",Feuil1!V31,IF(AW31="gaz",Feuil1!AB31,IF(AW31="fioul",'Référence&amp;tarifs'!$B$25,IF(AW31="bois",('Référence&amp;tarifs'!$B$23+'Référence&amp;tarifs'!$B$24)/2,0))))</f>
        <v>#N/A</v>
      </c>
      <c r="AV31" s="184" t="e">
        <f>VLOOKUP('Saisie immeuble'!F28,Feuil1!$Q$57:$U$70,4,0)</f>
        <v>#N/A</v>
      </c>
      <c r="AW31" s="184" t="e">
        <f>VLOOKUP('Saisie immeuble'!F28,Feuil1!$Q$57:$U$70,5,0)</f>
        <v>#N/A</v>
      </c>
      <c r="AX31" s="233" t="e">
        <f t="shared" si="12"/>
        <v>#N/A</v>
      </c>
    </row>
    <row r="32" spans="2:50" x14ac:dyDescent="0.25">
      <c r="B32" s="228" t="s">
        <v>107</v>
      </c>
      <c r="C32" s="184">
        <f>IF('Saisie immeuble'!D29=Feuil1!$B$4,4,IF(AND('Saisie immeuble'!D29=$B$5,('Saisie immeuble'!$C$4=Feuil1!$C$5)),5,IF(AND('Saisie immeuble'!D29=$B$5,('Saisie immeuble'!$C$4=Feuil1!$C$6)),6,IF(AND('Saisie immeuble'!D29=Feuil1!$B$7,('Saisie immeuble'!$C$4=Feuil1!$C$7)),7,IF(AND('Saisie immeuble'!D29=Feuil1!$B$7,('Saisie immeuble'!$C$4=Feuil1!$C$8)),8,0)))))</f>
        <v>0</v>
      </c>
      <c r="D32" s="223" t="e">
        <f>HLOOKUP('Saisie immeuble'!$C$3,Feuil1!$D$1:$BM$8,Feuil1!C32,0)</f>
        <v>#VALUE!</v>
      </c>
      <c r="E32" s="184">
        <f>HLOOKUP('Saisie immeuble'!$C$3,Feuil1!$D$1:$BM$8,3,0)</f>
        <v>3</v>
      </c>
      <c r="F32" s="184">
        <f>IF(E32=1,450+'Saisie immeuble'!C29*6,IF(E32=2,300+'Saisie immeuble'!C29*5,150+'Saisie immeuble'!C29*3))</f>
        <v>150</v>
      </c>
      <c r="G32" s="184">
        <f>IF(E32=1,1400+'Saisie immeuble'!C29*6,IF(E32=2,1100+'Saisie immeuble'!C29*6,500+'Saisie immeuble'!C29*6))</f>
        <v>500</v>
      </c>
      <c r="H32" s="223">
        <f>IF('Saisie immeuble'!$C$6="oui",IF('Saisie immeuble'!D29="dernier étage",IF(Feuil1!E32=1,0.4*Feuil1!D32,IF(Feuil1!E32=2,0.35*Feuil1!D32,IF(Feuil1!E32=3,0.3*Feuil1!D32,0))),0),0)</f>
        <v>0</v>
      </c>
      <c r="I32" s="223" t="e">
        <f>IF('Saisie immeuble'!$C$7="oui",IF(AND(Feuil1!E32=1,('Saisie immeuble'!$C$4=Feuil1!$C$5)),0.3*Feuil1!D32,IF(AND(Feuil1!E32=1,('Saisie immeuble'!$C$4=Feuil1!$C$6)),0.2*Feuil1!D32,IF(AND(Feuil1!E32=2,('Saisie immeuble'!$C$4=Feuil1!$C$5)),0.25*Feuil1!D32,IF(AND(Feuil1!E32=2,('Saisie immeuble'!$C$4=Feuil1!$C$6)),0.15*Feuil1!D32,IF(AND(Feuil1!E32=3,('Saisie immeuble'!$C$4=Feuil1!$C$5)),0.2*Feuil1!D32,IF(AND(Feuil1!E32=3,('Saisie immeuble'!$C$4=Feuil1!$C$6)),0.12*Feuil1!D32)))))),0)</f>
        <v>#VALUE!</v>
      </c>
      <c r="J32" s="223" t="e">
        <f>IF('Saisie immeuble'!$C$8="oui",IF(AND(Feuil1!E32=1,('Saisie immeuble'!$C$4=Feuil1!$C$5)),0.22*Feuil1!D32,IF(AND(Feuil1!E32=1,('Saisie immeuble'!$C$4=Feuil1!$C$6)),0.14*Feuil1!D32,IF(AND(Feuil1!E32=2,('Saisie immeuble'!$C$4=Feuil1!$C$5)),0.2*Feuil1!D32,IF(AND(Feuil1!E32=2,('Saisie immeuble'!$C$4=Feuil1!$C$6)),0.12*Feuil1!D32,IF(AND(Feuil1!E32=3,('Saisie immeuble'!$C$4=Feuil1!$C$5)),0.16*Feuil1!D32,IF(AND(Feuil1!E32=3,('Saisie immeuble'!$C$4=Feuil1!$C$6)),0.1*Feuil1!D32)))))),0)</f>
        <v>#VALUE!</v>
      </c>
      <c r="K32" s="223">
        <f>IF('Saisie immeuble'!$F$7="oui",IF('Saisie immeuble'!D29="rez de chaussée",IF(Feuil1!E32=1,0.2*Feuil1!D32,IF(Feuil1!E32=2,0.16*Feuil1!D32,IF(Feuil1!E32=3,0.12*Feuil1!D32,0))),0),0)</f>
        <v>0</v>
      </c>
      <c r="L32" s="184">
        <f>IF('Saisie immeuble'!C29&gt;0,IF('Saisie immeuble'!C29&gt;57,('Saisie immeuble'!C29-57)*55,('Saisie immeuble'!C29-57)*35),0)</f>
        <v>0</v>
      </c>
      <c r="M32" s="184">
        <f>IF('Saisie immeuble'!C29&gt;0,IF('Saisie immeuble'!$H$7=Feuil1!$B$78,IF(Feuil1!E32=1,700,IF(Feuil1!E32=2,550,400)),IF('Saisie immeuble'!$H$7=Feuil1!$B$79,IF(Feuil1!E32=1,350,IF(Feuil1!E32=2,275,200)),0))*(1-((57-'Saisie immeuble'!C29)/100)),0)</f>
        <v>0</v>
      </c>
      <c r="N32" s="223" t="e">
        <f>D32-IF('Saisie immeuble'!G29=Feuil1!$B$68,Feuil1!F32,IF('Saisie immeuble'!G29=Feuil1!$B$69,G32,0))-H32-I32-J32+L32-K32+M32</f>
        <v>#VALUE!</v>
      </c>
      <c r="O32" s="223" t="e">
        <f t="shared" si="9"/>
        <v>#VALUE!</v>
      </c>
      <c r="P32" s="223" t="e">
        <f>IF('Saisie immeuble'!$C$5="individuel",N32/AJ32,O32/AJ32)</f>
        <v>#VALUE!</v>
      </c>
      <c r="Q32" s="224" t="e">
        <f t="shared" si="10"/>
        <v>#VALUE!</v>
      </c>
      <c r="R32" s="228" t="e">
        <f>VLOOKUP('Saisie immeuble'!E29,Feuil1!$G$58:$I$75,3,0)</f>
        <v>#N/A</v>
      </c>
      <c r="S32" s="184" t="e">
        <f>VLOOKUP('Saisie immeuble'!F29,Feuil1!$Q$57:$U$70,5,0)</f>
        <v>#N/A</v>
      </c>
      <c r="T32" s="184" t="e">
        <f>IF(AND(R32&lt;&gt;"élec",(S32&lt;&gt;"élec"),('Saisie immeuble'!C29&lt;40)),'Référence&amp;tarifs'!$A$6,IF(AND(R32="élec",(S32="élec")),'Référence&amp;tarifs'!$A$8,'Référence&amp;tarifs'!$A$7))</f>
        <v>#N/A</v>
      </c>
      <c r="U32" s="184" t="e">
        <f>VLOOKUP(T32,'Référence&amp;tarifs'!$A$6:$C$10,2,0)</f>
        <v>#N/A</v>
      </c>
      <c r="V32" s="184" t="e">
        <f>VLOOKUP(T32,'Référence&amp;tarifs'!$A$6:$C$10,3,0)</f>
        <v>#N/A</v>
      </c>
      <c r="W32" s="184"/>
      <c r="X32" s="236" t="e">
        <f>IF('Résultat immeuble'!S22&lt;1.1,HLOOKUP(Feuil1!T32,'Référence&amp;tarifs'!#REF!,2,0),IF('Résultat immeuble'!S22&gt;1.9,HLOOKUP(Feuil1!T32,'Référence&amp;tarifs'!#REF!,4,0),HLOOKUP(Feuil1!T32,'Référence&amp;tarifs'!#REF!,3,0)))</f>
        <v>#N/A</v>
      </c>
      <c r="Y32" s="228" t="e">
        <f>IF(R32="gaz",N32,0)+IF(S32="gaz",AT32,0)+IF('Saisie immeuble'!H29="gaz de ville",Feuil1!AH32,0)</f>
        <v>#N/A</v>
      </c>
      <c r="Z32" s="184" t="e">
        <f>IF(Y32&lt;1000,'Référence&amp;tarifs'!$A$16,IF(Y32&gt;5999,'Référence&amp;tarifs'!$A$18,'Référence&amp;tarifs'!$A$17))</f>
        <v>#N/A</v>
      </c>
      <c r="AA32" s="184" t="e">
        <f>VLOOKUP(Z32,'Référence&amp;tarifs'!$A$16:$C$18,2,0)</f>
        <v>#N/A</v>
      </c>
      <c r="AB32" s="184" t="e">
        <f>VLOOKUP(Z32,'Référence&amp;tarifs'!$A$16:$C$18,3,0)</f>
        <v>#N/A</v>
      </c>
      <c r="AC32" s="229" t="e">
        <f>IF('Saisie immeuble'!$C$5="individuel",IF('Résultat immeuble'!S22=1,HLOOKUP(Feuil1!Z32,'Référence&amp;tarifs'!#REF!,2,0),IF('Résultat immeuble'!S22&gt;1.9,HLOOKUP(Feuil1!Z32,'Référence&amp;tarifs'!#REF!,4,0),HLOOKUP(Feuil1!Z32,'Référence&amp;tarifs'!#REF!,3,0))),IF('Saisie immeuble'!$C$5="collectif",IF('Résultat immeuble'!S22=1,'Référence&amp;tarifs'!#REF!,IF('Résultat immeuble'!S22&gt;1.9,'Référence&amp;tarifs'!#REF!,IF(AND('Résultat immeuble'!S22&lt;2,('Résultat immeuble'!S22&gt;1)),'Référence&amp;tarifs'!#REF!,0)))))</f>
        <v>#N/A</v>
      </c>
      <c r="AD32" s="230">
        <f>IF('Saisie immeuble'!I29+'Saisie immeuble'!J29&gt;0,18*'Saisie immeuble'!C29+3.5*('Saisie immeuble'!I29+'Saisie immeuble'!J29-1)*'Saisie immeuble'!C29,0)</f>
        <v>0</v>
      </c>
      <c r="AE32" s="231"/>
      <c r="AF32" s="232"/>
      <c r="AG32" s="233" t="e">
        <f t="shared" si="11"/>
        <v>#N/A</v>
      </c>
      <c r="AH32" s="228">
        <f>IF('Saisie immeuble'!I29+'Saisie immeuble'!J29&gt;0,350+80*('Saisie immeuble'!I29+'Saisie immeuble'!J29-1),0)</f>
        <v>0</v>
      </c>
      <c r="AI32" s="233" t="e">
        <f>IF('Saisie immeuble'!H29="gaz de ville",Feuil1!AB32,IF('Saisie immeuble'!H29=$B$72,V32,0))*Feuil1!AH32+IF(AND(R32&lt;&gt;"gaz",(S32&lt;&gt;"gaz"),('Saisie immeuble'!H29="gaz de ville")),Feuil1!AA32,0)</f>
        <v>#N/A</v>
      </c>
      <c r="AJ32" s="228" t="e">
        <f>VLOOKUP('Saisie immeuble'!E29,Feuil1!$G$58:$I$75,2,0)</f>
        <v>#N/A</v>
      </c>
      <c r="AK32" s="184" t="e">
        <f>VLOOKUP('Saisie immeuble'!E29,Feuil1!$G$58:$I$75,3,0)</f>
        <v>#N/A</v>
      </c>
      <c r="AL32" s="234" t="e">
        <f>IF(AK32="élec",V32,IF(AK32="gaz",AB32,IF(AK32="fioul",'Référence&amp;tarifs'!$B$25,IF(AK32="bois buche",'Référence&amp;tarifs'!$B$23,IF(AK32="bois granulés",'Référence&amp;tarifs'!$B$24,IF(AK32=I76,0.8*('Référence&amp;tarifs'!$B$23+'Référence&amp;tarifs'!B34)/2+0.2*Feuil1!AB32,0))))))</f>
        <v>#N/A</v>
      </c>
      <c r="AM32" s="228">
        <f>IF('Saisie immeuble'!I29+'Saisie immeuble'!J29&gt;0,Feuil1!$AM$13+2*('Saisie immeuble'!I29+'Saisie immeuble'!J29-1),0)</f>
        <v>0</v>
      </c>
      <c r="AN32" s="184">
        <f>IF('Saisie immeuble'!I29+'Saisie immeuble'!J29&gt;0,Feuil1!$AN$13*('Saisie immeuble'!I29+'Saisie immeuble'!J29),0)</f>
        <v>0</v>
      </c>
      <c r="AO32" s="184">
        <f>IF('Saisie immeuble'!I29+'Saisie immeuble'!J29&gt;0,Feuil1!$AO$13+3*('Saisie immeuble'!I29+'Saisie immeuble'!J29-1),0)</f>
        <v>0</v>
      </c>
      <c r="AP32" s="184">
        <f>IF('Saisie immeuble'!I29+'Saisie immeuble'!J29&gt;0,Feuil1!$AP$13+2*('Saisie immeuble'!I29+'Saisie immeuble'!J29-1),0)</f>
        <v>0</v>
      </c>
      <c r="AQ32" s="184">
        <f>IF('Saisie immeuble'!I29+'Saisie immeuble'!J29&gt;0,Feuil1!$AQ$13*('Saisie immeuble'!I29+'Saisie immeuble'!J29),0)</f>
        <v>0</v>
      </c>
      <c r="AR32" s="184">
        <f t="shared" si="8"/>
        <v>0</v>
      </c>
      <c r="AS32" s="224" t="e">
        <f>AR32*'Saisie immeuble'!$F$8+IF(AND(R32&lt;&gt;"gaz",(S32="gaz")),AA32,0)</f>
        <v>#N/A</v>
      </c>
      <c r="AT32" s="228">
        <f>IF('Saisie immeuble'!I29+'Saisie immeuble'!J29&gt;0,1100+700*('Saisie immeuble'!I29+'Saisie immeuble'!J29-1),0)</f>
        <v>0</v>
      </c>
      <c r="AU32" s="235" t="e">
        <f>IF(AW32="élec",Feuil1!V32,IF(AW32="gaz",Feuil1!AB32,IF(AW32="fioul",'Référence&amp;tarifs'!$B$25,IF(AW32="bois",('Référence&amp;tarifs'!$B$23+'Référence&amp;tarifs'!$B$24)/2,0))))</f>
        <v>#N/A</v>
      </c>
      <c r="AV32" s="184" t="e">
        <f>VLOOKUP('Saisie immeuble'!F29,Feuil1!$Q$57:$U$70,4,0)</f>
        <v>#N/A</v>
      </c>
      <c r="AW32" s="184" t="e">
        <f>VLOOKUP('Saisie immeuble'!F29,Feuil1!$Q$57:$U$70,5,0)</f>
        <v>#N/A</v>
      </c>
      <c r="AX32" s="233" t="e">
        <f t="shared" si="12"/>
        <v>#N/A</v>
      </c>
    </row>
    <row r="33" spans="2:50" x14ac:dyDescent="0.25">
      <c r="B33" s="228" t="s">
        <v>108</v>
      </c>
      <c r="C33" s="184">
        <f>IF('Saisie immeuble'!D30=Feuil1!$B$4,4,IF(AND('Saisie immeuble'!D30=$B$5,('Saisie immeuble'!$C$4=Feuil1!$C$5)),5,IF(AND('Saisie immeuble'!D30=$B$5,('Saisie immeuble'!$C$4=Feuil1!$C$6)),6,IF(AND('Saisie immeuble'!D30=Feuil1!$B$7,('Saisie immeuble'!$C$4=Feuil1!$C$7)),7,IF(AND('Saisie immeuble'!D30=Feuil1!$B$7,('Saisie immeuble'!$C$4=Feuil1!$C$8)),8,0)))))</f>
        <v>0</v>
      </c>
      <c r="D33" s="223" t="e">
        <f>HLOOKUP('Saisie immeuble'!$C$3,Feuil1!$D$1:$BM$8,Feuil1!C33,0)</f>
        <v>#VALUE!</v>
      </c>
      <c r="E33" s="184">
        <f>HLOOKUP('Saisie immeuble'!$C$3,Feuil1!$D$1:$BM$8,3,0)</f>
        <v>3</v>
      </c>
      <c r="F33" s="184">
        <f>IF(E33=1,450+'Saisie immeuble'!C30*6,IF(E33=2,300+'Saisie immeuble'!C30*5,150+'Saisie immeuble'!C30*3))</f>
        <v>150</v>
      </c>
      <c r="G33" s="184">
        <f>IF(E33=1,1400+'Saisie immeuble'!C30*6,IF(E33=2,1100+'Saisie immeuble'!C30*6,500+'Saisie immeuble'!C30*6))</f>
        <v>500</v>
      </c>
      <c r="H33" s="223">
        <f>IF('Saisie immeuble'!$C$6="oui",IF('Saisie immeuble'!D30="dernier étage",IF(Feuil1!E33=1,0.4*Feuil1!D33,IF(Feuil1!E33=2,0.35*Feuil1!D33,IF(Feuil1!E33=3,0.3*Feuil1!D33,0))),0),0)</f>
        <v>0</v>
      </c>
      <c r="I33" s="223" t="e">
        <f>IF('Saisie immeuble'!$C$7="oui",IF(AND(Feuil1!E33=1,('Saisie immeuble'!$C$4=Feuil1!$C$5)),0.3*Feuil1!D33,IF(AND(Feuil1!E33=1,('Saisie immeuble'!$C$4=Feuil1!$C$6)),0.2*Feuil1!D33,IF(AND(Feuil1!E33=2,('Saisie immeuble'!$C$4=Feuil1!$C$5)),0.25*Feuil1!D33,IF(AND(Feuil1!E33=2,('Saisie immeuble'!$C$4=Feuil1!$C$6)),0.15*Feuil1!D33,IF(AND(Feuil1!E33=3,('Saisie immeuble'!$C$4=Feuil1!$C$5)),0.2*Feuil1!D33,IF(AND(Feuil1!E33=3,('Saisie immeuble'!$C$4=Feuil1!$C$6)),0.12*Feuil1!D33)))))),0)</f>
        <v>#VALUE!</v>
      </c>
      <c r="J33" s="223" t="e">
        <f>IF('Saisie immeuble'!$C$8="oui",IF(AND(Feuil1!E33=1,('Saisie immeuble'!$C$4=Feuil1!$C$5)),0.22*Feuil1!D33,IF(AND(Feuil1!E33=1,('Saisie immeuble'!$C$4=Feuil1!$C$6)),0.14*Feuil1!D33,IF(AND(Feuil1!E33=2,('Saisie immeuble'!$C$4=Feuil1!$C$5)),0.2*Feuil1!D33,IF(AND(Feuil1!E33=2,('Saisie immeuble'!$C$4=Feuil1!$C$6)),0.12*Feuil1!D33,IF(AND(Feuil1!E33=3,('Saisie immeuble'!$C$4=Feuil1!$C$5)),0.16*Feuil1!D33,IF(AND(Feuil1!E33=3,('Saisie immeuble'!$C$4=Feuil1!$C$6)),0.1*Feuil1!D33)))))),0)</f>
        <v>#VALUE!</v>
      </c>
      <c r="K33" s="223">
        <f>IF('Saisie immeuble'!$F$7="oui",IF('Saisie immeuble'!D30="rez de chaussée",IF(Feuil1!E33=1,0.2*Feuil1!D33,IF(Feuil1!E33=2,0.16*Feuil1!D33,IF(Feuil1!E33=3,0.12*Feuil1!D33,0))),0),0)</f>
        <v>0</v>
      </c>
      <c r="L33" s="184">
        <f>IF('Saisie immeuble'!C30&gt;0,IF('Saisie immeuble'!C30&gt;57,('Saisie immeuble'!C30-57)*55,('Saisie immeuble'!C30-57)*35),0)</f>
        <v>0</v>
      </c>
      <c r="M33" s="184">
        <f>IF('Saisie immeuble'!C30&gt;0,IF('Saisie immeuble'!$H$7=Feuil1!$B$78,IF(Feuil1!E33=1,700,IF(Feuil1!E33=2,550,400)),IF('Saisie immeuble'!$H$7=Feuil1!$B$79,IF(Feuil1!E33=1,350,IF(Feuil1!E33=2,275,200)),0))*(1-((57-'Saisie immeuble'!C30)/100)),0)</f>
        <v>0</v>
      </c>
      <c r="N33" s="223" t="e">
        <f>D33-IF('Saisie immeuble'!G30=Feuil1!$B$68,Feuil1!F33,IF('Saisie immeuble'!G30=Feuil1!$B$69,G33,0))-H33-I33-J33+L33-K33+M33</f>
        <v>#VALUE!</v>
      </c>
      <c r="O33" s="223" t="e">
        <f t="shared" si="9"/>
        <v>#VALUE!</v>
      </c>
      <c r="P33" s="223" t="e">
        <f>IF('Saisie immeuble'!$C$5="individuel",N33/AJ33,O33/AJ33)</f>
        <v>#VALUE!</v>
      </c>
      <c r="Q33" s="224" t="e">
        <f t="shared" si="10"/>
        <v>#VALUE!</v>
      </c>
      <c r="R33" s="228" t="e">
        <f>VLOOKUP('Saisie immeuble'!E30,Feuil1!$G$58:$I$75,3,0)</f>
        <v>#N/A</v>
      </c>
      <c r="S33" s="184" t="e">
        <f>VLOOKUP('Saisie immeuble'!F30,Feuil1!$Q$57:$U$70,5,0)</f>
        <v>#N/A</v>
      </c>
      <c r="T33" s="184" t="e">
        <f>IF(AND(R33&lt;&gt;"élec",(S33&lt;&gt;"élec"),('Saisie immeuble'!C30&lt;40)),'Référence&amp;tarifs'!$A$6,IF(AND(R33="élec",(S33="élec")),'Référence&amp;tarifs'!$A$8,'Référence&amp;tarifs'!$A$7))</f>
        <v>#N/A</v>
      </c>
      <c r="U33" s="184" t="e">
        <f>VLOOKUP(T33,'Référence&amp;tarifs'!$A$6:$C$10,2,0)</f>
        <v>#N/A</v>
      </c>
      <c r="V33" s="184" t="e">
        <f>VLOOKUP(T33,'Référence&amp;tarifs'!$A$6:$C$10,3,0)</f>
        <v>#N/A</v>
      </c>
      <c r="W33" s="184"/>
      <c r="X33" s="236" t="e">
        <f>IF('Résultat immeuble'!#REF!&lt;1.1,HLOOKUP(Feuil1!T33,'Référence&amp;tarifs'!#REF!,2,0),IF('Résultat immeuble'!#REF!&gt;1.9,HLOOKUP(Feuil1!T33,'Référence&amp;tarifs'!#REF!,4,0),HLOOKUP(Feuil1!T33,'Référence&amp;tarifs'!#REF!,3,0)))</f>
        <v>#REF!</v>
      </c>
      <c r="Y33" s="228" t="e">
        <f>IF(R33="gaz",N33,0)+IF(S33="gaz",AT33,0)+IF('Saisie immeuble'!H30="gaz de ville",Feuil1!AH33,0)</f>
        <v>#N/A</v>
      </c>
      <c r="Z33" s="184" t="e">
        <f>IF(Y33&lt;1000,'Référence&amp;tarifs'!$A$16,IF(Y33&gt;5999,'Référence&amp;tarifs'!$A$18,'Référence&amp;tarifs'!$A$17))</f>
        <v>#N/A</v>
      </c>
      <c r="AA33" s="184" t="e">
        <f>VLOOKUP(Z33,'Référence&amp;tarifs'!$A$16:$C$18,2,0)</f>
        <v>#N/A</v>
      </c>
      <c r="AB33" s="184" t="e">
        <f>VLOOKUP(Z33,'Référence&amp;tarifs'!$A$16:$C$18,3,0)</f>
        <v>#N/A</v>
      </c>
      <c r="AC33" s="229" t="e">
        <f>IF('Saisie immeuble'!$C$5="individuel",IF('Résultat immeuble'!#REF!=1,HLOOKUP(Feuil1!Z33,'Référence&amp;tarifs'!#REF!,2,0),IF('Résultat immeuble'!#REF!&gt;1.9,HLOOKUP(Feuil1!Z33,'Référence&amp;tarifs'!#REF!,4,0),HLOOKUP(Feuil1!Z33,'Référence&amp;tarifs'!#REF!,3,0))),IF('Saisie immeuble'!$C$5="collectif",IF('Résultat immeuble'!#REF!=1,'Référence&amp;tarifs'!#REF!,IF('Résultat immeuble'!#REF!&gt;1.9,'Référence&amp;tarifs'!#REF!,IF(AND('Résultat immeuble'!#REF!&lt;2,('Résultat immeuble'!#REF!&gt;1)),'Référence&amp;tarifs'!#REF!,0)))))</f>
        <v>#REF!</v>
      </c>
      <c r="AD33" s="230">
        <f>IF('Saisie immeuble'!I30+'Saisie immeuble'!J30&gt;0,18*'Saisie immeuble'!C30+3.5*('Saisie immeuble'!I30+'Saisie immeuble'!J30-1)*'Saisie immeuble'!C30,0)</f>
        <v>0</v>
      </c>
      <c r="AE33" s="231"/>
      <c r="AF33" s="232"/>
      <c r="AG33" s="233" t="e">
        <f t="shared" si="11"/>
        <v>#N/A</v>
      </c>
      <c r="AH33" s="228">
        <f>IF('Saisie immeuble'!I30+'Saisie immeuble'!J30&gt;0,350+80*('Saisie immeuble'!I30+'Saisie immeuble'!J30-1),0)</f>
        <v>0</v>
      </c>
      <c r="AI33" s="233" t="e">
        <f>IF('Saisie immeuble'!H30="gaz de ville",Feuil1!AB33,IF('Saisie immeuble'!H30=$B$72,V33,0))*Feuil1!AH33+IF(AND(R33&lt;&gt;"gaz",(S33&lt;&gt;"gaz"),('Saisie immeuble'!H30="gaz de ville")),Feuil1!AA33,0)</f>
        <v>#N/A</v>
      </c>
      <c r="AJ33" s="228" t="e">
        <f>VLOOKUP('Saisie immeuble'!E30,Feuil1!$G$58:$I$75,2,0)</f>
        <v>#N/A</v>
      </c>
      <c r="AK33" s="184" t="e">
        <f>VLOOKUP('Saisie immeuble'!E30,Feuil1!$G$58:$I$75,3,0)</f>
        <v>#N/A</v>
      </c>
      <c r="AL33" s="234" t="e">
        <f>IF(AK33="élec",V33,IF(AK33="gaz",AB33,IF(AK33="fioul",'Référence&amp;tarifs'!$B$25,IF(AK33="bois buche",'Référence&amp;tarifs'!$B$23,IF(AK33="bois granulés",'Référence&amp;tarifs'!$B$24,IF(AK33=I77,0.8*('Référence&amp;tarifs'!$B$23+'Référence&amp;tarifs'!B35)/2+0.2*Feuil1!AB33,0))))))</f>
        <v>#N/A</v>
      </c>
      <c r="AM33" s="228">
        <f>IF('Saisie immeuble'!I30+'Saisie immeuble'!J30&gt;0,Feuil1!$AM$13+2*('Saisie immeuble'!I30+'Saisie immeuble'!J30-1),0)</f>
        <v>0</v>
      </c>
      <c r="AN33" s="184">
        <f>IF('Saisie immeuble'!I30+'Saisie immeuble'!J30&gt;0,Feuil1!$AN$13*('Saisie immeuble'!I30+'Saisie immeuble'!J30),0)</f>
        <v>0</v>
      </c>
      <c r="AO33" s="184">
        <f>IF('Saisie immeuble'!I30+'Saisie immeuble'!J30&gt;0,Feuil1!$AO$13+3*('Saisie immeuble'!I30+'Saisie immeuble'!J30-1),0)</f>
        <v>0</v>
      </c>
      <c r="AP33" s="184">
        <f>IF('Saisie immeuble'!I30+'Saisie immeuble'!J30&gt;0,Feuil1!$AP$13+2*('Saisie immeuble'!I30+'Saisie immeuble'!J30-1),0)</f>
        <v>0</v>
      </c>
      <c r="AQ33" s="184">
        <f>IF('Saisie immeuble'!I30+'Saisie immeuble'!J30&gt;0,Feuil1!$AQ$13*('Saisie immeuble'!I30+'Saisie immeuble'!J30),0)</f>
        <v>0</v>
      </c>
      <c r="AR33" s="184">
        <f t="shared" si="8"/>
        <v>0</v>
      </c>
      <c r="AS33" s="224" t="e">
        <f>AR33*'Saisie immeuble'!$F$8+IF(AND(R33&lt;&gt;"gaz",(S33="gaz")),AA33,0)</f>
        <v>#N/A</v>
      </c>
      <c r="AT33" s="228">
        <f>IF('Saisie immeuble'!I30+'Saisie immeuble'!J30&gt;0,1100+700*('Saisie immeuble'!I30+'Saisie immeuble'!J30-1),0)</f>
        <v>0</v>
      </c>
      <c r="AU33" s="235" t="e">
        <f>IF(AW33="élec",Feuil1!V33,IF(AW33="gaz",Feuil1!AB33,IF(AW33="fioul",'Référence&amp;tarifs'!$B$25,IF(AW33="bois",('Référence&amp;tarifs'!$B$23+'Référence&amp;tarifs'!$B$24)/2,0))))</f>
        <v>#N/A</v>
      </c>
      <c r="AV33" s="184" t="e">
        <f>VLOOKUP('Saisie immeuble'!F30,Feuil1!$Q$57:$U$70,4,0)</f>
        <v>#N/A</v>
      </c>
      <c r="AW33" s="184" t="e">
        <f>VLOOKUP('Saisie immeuble'!F30,Feuil1!$Q$57:$U$70,5,0)</f>
        <v>#N/A</v>
      </c>
      <c r="AX33" s="233" t="e">
        <f t="shared" si="12"/>
        <v>#N/A</v>
      </c>
    </row>
    <row r="34" spans="2:50" x14ac:dyDescent="0.25">
      <c r="B34" s="228" t="s">
        <v>109</v>
      </c>
      <c r="C34" s="184">
        <f>IF('Saisie immeuble'!D31=Feuil1!$B$4,4,IF(AND('Saisie immeuble'!D31=$B$5,('Saisie immeuble'!$C$4=Feuil1!$C$5)),5,IF(AND('Saisie immeuble'!D31=$B$5,('Saisie immeuble'!$C$4=Feuil1!$C$6)),6,IF(AND('Saisie immeuble'!D31=Feuil1!$B$7,('Saisie immeuble'!$C$4=Feuil1!$C$7)),7,IF(AND('Saisie immeuble'!D31=Feuil1!$B$7,('Saisie immeuble'!$C$4=Feuil1!$C$8)),8,0)))))</f>
        <v>0</v>
      </c>
      <c r="D34" s="223" t="e">
        <f>HLOOKUP('Saisie immeuble'!$C$3,Feuil1!$D$1:$BM$8,Feuil1!C34,0)</f>
        <v>#VALUE!</v>
      </c>
      <c r="E34" s="184">
        <f>HLOOKUP('Saisie immeuble'!$C$3,Feuil1!$D$1:$BM$8,3,0)</f>
        <v>3</v>
      </c>
      <c r="F34" s="184">
        <f>IF(E34=1,450+'Saisie immeuble'!C31*6,IF(E34=2,300+'Saisie immeuble'!C31*5,150+'Saisie immeuble'!C31*3))</f>
        <v>150</v>
      </c>
      <c r="G34" s="184">
        <f>IF(E34=1,1400+'Saisie immeuble'!C31*6,IF(E34=2,1100+'Saisie immeuble'!C31*6,500+'Saisie immeuble'!C31*6))</f>
        <v>500</v>
      </c>
      <c r="H34" s="223">
        <f>IF('Saisie immeuble'!$C$6="oui",IF('Saisie immeuble'!D31="dernier étage",IF(Feuil1!E34=1,0.4*Feuil1!D34,IF(Feuil1!E34=2,0.35*Feuil1!D34,IF(Feuil1!E34=3,0.3*Feuil1!D34,0))),0),0)</f>
        <v>0</v>
      </c>
      <c r="I34" s="223" t="e">
        <f>IF('Saisie immeuble'!$C$7="oui",IF(AND(Feuil1!E34=1,('Saisie immeuble'!$C$4=Feuil1!$C$5)),0.3*Feuil1!D34,IF(AND(Feuil1!E34=1,('Saisie immeuble'!$C$4=Feuil1!$C$6)),0.2*Feuil1!D34,IF(AND(Feuil1!E34=2,('Saisie immeuble'!$C$4=Feuil1!$C$5)),0.25*Feuil1!D34,IF(AND(Feuil1!E34=2,('Saisie immeuble'!$C$4=Feuil1!$C$6)),0.15*Feuil1!D34,IF(AND(Feuil1!E34=3,('Saisie immeuble'!$C$4=Feuil1!$C$5)),0.2*Feuil1!D34,IF(AND(Feuil1!E34=3,('Saisie immeuble'!$C$4=Feuil1!$C$6)),0.12*Feuil1!D34)))))),0)</f>
        <v>#VALUE!</v>
      </c>
      <c r="J34" s="223" t="e">
        <f>IF('Saisie immeuble'!$C$8="oui",IF(AND(Feuil1!E34=1,('Saisie immeuble'!$C$4=Feuil1!$C$5)),0.22*Feuil1!D34,IF(AND(Feuil1!E34=1,('Saisie immeuble'!$C$4=Feuil1!$C$6)),0.14*Feuil1!D34,IF(AND(Feuil1!E34=2,('Saisie immeuble'!$C$4=Feuil1!$C$5)),0.2*Feuil1!D34,IF(AND(Feuil1!E34=2,('Saisie immeuble'!$C$4=Feuil1!$C$6)),0.12*Feuil1!D34,IF(AND(Feuil1!E34=3,('Saisie immeuble'!$C$4=Feuil1!$C$5)),0.16*Feuil1!D34,IF(AND(Feuil1!E34=3,('Saisie immeuble'!$C$4=Feuil1!$C$6)),0.1*Feuil1!D34)))))),0)</f>
        <v>#VALUE!</v>
      </c>
      <c r="K34" s="223">
        <f>IF('Saisie immeuble'!$F$7="oui",IF('Saisie immeuble'!D31="rez de chaussée",IF(Feuil1!E34=1,0.2*Feuil1!D34,IF(Feuil1!E34=2,0.16*Feuil1!D34,IF(Feuil1!E34=3,0.12*Feuil1!D34,0))),0),0)</f>
        <v>0</v>
      </c>
      <c r="L34" s="184">
        <f>IF('Saisie immeuble'!C31&gt;0,IF('Saisie immeuble'!C31&gt;57,('Saisie immeuble'!C31-57)*55,('Saisie immeuble'!C31-57)*35),0)</f>
        <v>0</v>
      </c>
      <c r="M34" s="184">
        <f>IF('Saisie immeuble'!C31&gt;0,IF('Saisie immeuble'!$H$7=Feuil1!$B$78,IF(Feuil1!E34=1,700,IF(Feuil1!E34=2,550,400)),IF('Saisie immeuble'!$H$7=Feuil1!$B$79,IF(Feuil1!E34=1,350,IF(Feuil1!E34=2,275,200)),0))*(1-((57-'Saisie immeuble'!C31)/100)),0)</f>
        <v>0</v>
      </c>
      <c r="N34" s="223" t="e">
        <f>D34-IF('Saisie immeuble'!G31=Feuil1!$B$68,Feuil1!F34,IF('Saisie immeuble'!G31=Feuil1!$B$69,G34,0))-H34-I34-J34+L34-K34+M34</f>
        <v>#VALUE!</v>
      </c>
      <c r="O34" s="223" t="e">
        <f t="shared" si="9"/>
        <v>#VALUE!</v>
      </c>
      <c r="P34" s="223" t="e">
        <f>IF('Saisie immeuble'!$C$5="individuel",N34/AJ34,O34/AJ34)</f>
        <v>#VALUE!</v>
      </c>
      <c r="Q34" s="224" t="e">
        <f t="shared" si="10"/>
        <v>#VALUE!</v>
      </c>
      <c r="R34" s="228" t="e">
        <f>VLOOKUP('Saisie immeuble'!E31,Feuil1!$G$58:$I$75,3,0)</f>
        <v>#N/A</v>
      </c>
      <c r="S34" s="184" t="e">
        <f>VLOOKUP('Saisie immeuble'!F31,Feuil1!$Q$57:$U$70,5,0)</f>
        <v>#N/A</v>
      </c>
      <c r="T34" s="184" t="e">
        <f>IF(AND(R34&lt;&gt;"élec",(S34&lt;&gt;"élec"),('Saisie immeuble'!C31&lt;40)),'Référence&amp;tarifs'!$A$6,IF(AND(R34="élec",(S34="élec")),'Référence&amp;tarifs'!$A$8,'Référence&amp;tarifs'!$A$7))</f>
        <v>#N/A</v>
      </c>
      <c r="U34" s="184" t="e">
        <f>VLOOKUP(T34,'Référence&amp;tarifs'!$A$6:$C$10,2,0)</f>
        <v>#N/A</v>
      </c>
      <c r="V34" s="184" t="e">
        <f>VLOOKUP(T34,'Référence&amp;tarifs'!$A$6:$C$10,3,0)</f>
        <v>#N/A</v>
      </c>
      <c r="W34" s="184"/>
      <c r="X34" s="236" t="e">
        <f>IF('Résultat immeuble'!S23&lt;1.1,HLOOKUP(Feuil1!T34,'Référence&amp;tarifs'!#REF!,2,0),IF('Résultat immeuble'!S23&gt;1.9,HLOOKUP(Feuil1!T34,'Référence&amp;tarifs'!#REF!,4,0),HLOOKUP(Feuil1!T34,'Référence&amp;tarifs'!#REF!,3,0)))</f>
        <v>#N/A</v>
      </c>
      <c r="Y34" s="228" t="e">
        <f>IF(R34="gaz",N34,0)+IF(S34="gaz",AT34,0)+IF('Saisie immeuble'!H31="gaz de ville",Feuil1!AH34,0)</f>
        <v>#N/A</v>
      </c>
      <c r="Z34" s="184" t="e">
        <f>IF(Y34&lt;1000,'Référence&amp;tarifs'!$A$16,IF(Y34&gt;5999,'Référence&amp;tarifs'!$A$18,'Référence&amp;tarifs'!$A$17))</f>
        <v>#N/A</v>
      </c>
      <c r="AA34" s="184" t="e">
        <f>VLOOKUP(Z34,'Référence&amp;tarifs'!$A$16:$C$18,2,0)</f>
        <v>#N/A</v>
      </c>
      <c r="AB34" s="184" t="e">
        <f>VLOOKUP(Z34,'Référence&amp;tarifs'!$A$16:$C$18,3,0)</f>
        <v>#N/A</v>
      </c>
      <c r="AC34" s="229" t="e">
        <f>IF('Saisie immeuble'!$C$5="individuel",IF('Résultat immeuble'!S23=1,HLOOKUP(Feuil1!Z34,'Référence&amp;tarifs'!#REF!,2,0),IF('Résultat immeuble'!S23&gt;1.9,HLOOKUP(Feuil1!Z34,'Référence&amp;tarifs'!#REF!,4,0),HLOOKUP(Feuil1!Z34,'Référence&amp;tarifs'!#REF!,3,0))),IF('Saisie immeuble'!$C$5="collectif",IF('Résultat immeuble'!S23=1,'Référence&amp;tarifs'!#REF!,IF('Résultat immeuble'!S23&gt;1.9,'Référence&amp;tarifs'!#REF!,IF(AND('Résultat immeuble'!S23&lt;2,('Résultat immeuble'!S23&gt;1)),'Référence&amp;tarifs'!#REF!,0)))))</f>
        <v>#N/A</v>
      </c>
      <c r="AD34" s="230">
        <f>IF('Saisie immeuble'!I31+'Saisie immeuble'!J31&gt;0,18*'Saisie immeuble'!C31+3.5*('Saisie immeuble'!I31+'Saisie immeuble'!J31-1)*'Saisie immeuble'!C31,0)</f>
        <v>0</v>
      </c>
      <c r="AE34" s="231"/>
      <c r="AF34" s="232"/>
      <c r="AG34" s="233" t="e">
        <f t="shared" si="11"/>
        <v>#N/A</v>
      </c>
      <c r="AH34" s="228">
        <f>IF('Saisie immeuble'!I31+'Saisie immeuble'!J31&gt;0,350+80*('Saisie immeuble'!I31+'Saisie immeuble'!J31-1),0)</f>
        <v>0</v>
      </c>
      <c r="AI34" s="233" t="e">
        <f>IF('Saisie immeuble'!H31="gaz de ville",Feuil1!AB34,IF('Saisie immeuble'!H31=$B$72,V34,0))*Feuil1!AH34+IF(AND(R34&lt;&gt;"gaz",(S34&lt;&gt;"gaz"),('Saisie immeuble'!H31="gaz de ville")),Feuil1!AA34,0)</f>
        <v>#N/A</v>
      </c>
      <c r="AJ34" s="228" t="e">
        <f>VLOOKUP('Saisie immeuble'!E31,Feuil1!$G$58:$I$75,2,0)</f>
        <v>#N/A</v>
      </c>
      <c r="AK34" s="184" t="e">
        <f>VLOOKUP('Saisie immeuble'!E31,Feuil1!$G$58:$I$75,3,0)</f>
        <v>#N/A</v>
      </c>
      <c r="AL34" s="234" t="e">
        <f>IF(AK34="élec",V34,IF(AK34="gaz",AB34,IF(AK34="fioul",'Référence&amp;tarifs'!$B$25,IF(AK34="bois buche",'Référence&amp;tarifs'!$B$23,IF(AK34="bois granulés",'Référence&amp;tarifs'!$B$24,IF(AK34=I78,0.8*('Référence&amp;tarifs'!$B$23+'Référence&amp;tarifs'!B36)/2+0.2*Feuil1!AB34,0))))))</f>
        <v>#N/A</v>
      </c>
      <c r="AM34" s="228">
        <f>IF('Saisie immeuble'!I31+'Saisie immeuble'!J31&gt;0,Feuil1!$AM$13+2*('Saisie immeuble'!I31+'Saisie immeuble'!J31-1),0)</f>
        <v>0</v>
      </c>
      <c r="AN34" s="184">
        <f>IF('Saisie immeuble'!I31+'Saisie immeuble'!J31&gt;0,Feuil1!$AN$13*('Saisie immeuble'!I31+'Saisie immeuble'!J31),0)</f>
        <v>0</v>
      </c>
      <c r="AO34" s="184">
        <f>IF('Saisie immeuble'!I31+'Saisie immeuble'!J31&gt;0,Feuil1!$AO$13+3*('Saisie immeuble'!I31+'Saisie immeuble'!J31-1),0)</f>
        <v>0</v>
      </c>
      <c r="AP34" s="184">
        <f>IF('Saisie immeuble'!I31+'Saisie immeuble'!J31&gt;0,Feuil1!$AP$13+2*('Saisie immeuble'!I31+'Saisie immeuble'!J31-1),0)</f>
        <v>0</v>
      </c>
      <c r="AQ34" s="184">
        <f>IF('Saisie immeuble'!I31+'Saisie immeuble'!J31&gt;0,Feuil1!$AQ$13*('Saisie immeuble'!I31+'Saisie immeuble'!J31),0)</f>
        <v>0</v>
      </c>
      <c r="AR34" s="184">
        <f t="shared" si="8"/>
        <v>0</v>
      </c>
      <c r="AS34" s="224" t="e">
        <f>AR34*'Saisie immeuble'!$F$8+IF(AND(R34&lt;&gt;"gaz",(S34="gaz")),AA34,0)</f>
        <v>#N/A</v>
      </c>
      <c r="AT34" s="228">
        <f>IF('Saisie immeuble'!I31+'Saisie immeuble'!J31&gt;0,1100+700*('Saisie immeuble'!I31+'Saisie immeuble'!J31-1),0)</f>
        <v>0</v>
      </c>
      <c r="AU34" s="235" t="e">
        <f>IF(AW34="élec",Feuil1!V34,IF(AW34="gaz",Feuil1!AB34,IF(AW34="fioul",'Référence&amp;tarifs'!$B$25,IF(AW34="bois",('Référence&amp;tarifs'!$B$23+'Référence&amp;tarifs'!$B$24)/2,0))))</f>
        <v>#N/A</v>
      </c>
      <c r="AV34" s="184" t="e">
        <f>VLOOKUP('Saisie immeuble'!F31,Feuil1!$Q$57:$U$70,4,0)</f>
        <v>#N/A</v>
      </c>
      <c r="AW34" s="184" t="e">
        <f>VLOOKUP('Saisie immeuble'!F31,Feuil1!$Q$57:$U$70,5,0)</f>
        <v>#N/A</v>
      </c>
      <c r="AX34" s="233" t="e">
        <f t="shared" si="12"/>
        <v>#N/A</v>
      </c>
    </row>
    <row r="35" spans="2:50" x14ac:dyDescent="0.25">
      <c r="B35" s="228" t="s">
        <v>110</v>
      </c>
      <c r="C35" s="184">
        <f>IF('Saisie immeuble'!D32=Feuil1!$B$4,4,IF(AND('Saisie immeuble'!D32=$B$5,('Saisie immeuble'!$C$4=Feuil1!$C$5)),5,IF(AND('Saisie immeuble'!D32=$B$5,('Saisie immeuble'!$C$4=Feuil1!$C$6)),6,IF(AND('Saisie immeuble'!D32=Feuil1!$B$7,('Saisie immeuble'!$C$4=Feuil1!$C$7)),7,IF(AND('Saisie immeuble'!D32=Feuil1!$B$7,('Saisie immeuble'!$C$4=Feuil1!$C$8)),8,0)))))</f>
        <v>0</v>
      </c>
      <c r="D35" s="223" t="e">
        <f>HLOOKUP('Saisie immeuble'!$C$3,Feuil1!$D$1:$BM$8,Feuil1!C35,0)</f>
        <v>#VALUE!</v>
      </c>
      <c r="E35" s="184">
        <f>HLOOKUP('Saisie immeuble'!$C$3,Feuil1!$D$1:$BM$8,3,0)</f>
        <v>3</v>
      </c>
      <c r="F35" s="184">
        <f>IF(E35=1,450+'Saisie immeuble'!C32*6,IF(E35=2,300+'Saisie immeuble'!C32*5,150+'Saisie immeuble'!C32*3))</f>
        <v>150</v>
      </c>
      <c r="G35" s="184">
        <f>IF(E35=1,1400+'Saisie immeuble'!C32*6,IF(E35=2,1100+'Saisie immeuble'!C32*6,500+'Saisie immeuble'!C32*6))</f>
        <v>500</v>
      </c>
      <c r="H35" s="223">
        <f>IF('Saisie immeuble'!$C$6="oui",IF('Saisie immeuble'!D32="dernier étage",IF(Feuil1!E35=1,0.4*Feuil1!D35,IF(Feuil1!E35=2,0.35*Feuil1!D35,IF(Feuil1!E35=3,0.3*Feuil1!D35,0))),0),0)</f>
        <v>0</v>
      </c>
      <c r="I35" s="223" t="e">
        <f>IF('Saisie immeuble'!$C$7="oui",IF(AND(Feuil1!E35=1,('Saisie immeuble'!$C$4=Feuil1!$C$5)),0.3*Feuil1!D35,IF(AND(Feuil1!E35=1,('Saisie immeuble'!$C$4=Feuil1!$C$6)),0.2*Feuil1!D35,IF(AND(Feuil1!E35=2,('Saisie immeuble'!$C$4=Feuil1!$C$5)),0.25*Feuil1!D35,IF(AND(Feuil1!E35=2,('Saisie immeuble'!$C$4=Feuil1!$C$6)),0.15*Feuil1!D35,IF(AND(Feuil1!E35=3,('Saisie immeuble'!$C$4=Feuil1!$C$5)),0.2*Feuil1!D35,IF(AND(Feuil1!E35=3,('Saisie immeuble'!$C$4=Feuil1!$C$6)),0.12*Feuil1!D35)))))),0)</f>
        <v>#VALUE!</v>
      </c>
      <c r="J35" s="223" t="e">
        <f>IF('Saisie immeuble'!$C$8="oui",IF(AND(Feuil1!E35=1,('Saisie immeuble'!$C$4=Feuil1!$C$5)),0.22*Feuil1!D35,IF(AND(Feuil1!E35=1,('Saisie immeuble'!$C$4=Feuil1!$C$6)),0.14*Feuil1!D35,IF(AND(Feuil1!E35=2,('Saisie immeuble'!$C$4=Feuil1!$C$5)),0.2*Feuil1!D35,IF(AND(Feuil1!E35=2,('Saisie immeuble'!$C$4=Feuil1!$C$6)),0.12*Feuil1!D35,IF(AND(Feuil1!E35=3,('Saisie immeuble'!$C$4=Feuil1!$C$5)),0.16*Feuil1!D35,IF(AND(Feuil1!E35=3,('Saisie immeuble'!$C$4=Feuil1!$C$6)),0.1*Feuil1!D35)))))),0)</f>
        <v>#VALUE!</v>
      </c>
      <c r="K35" s="223">
        <f>IF('Saisie immeuble'!$F$7="oui",IF('Saisie immeuble'!D32="rez de chaussée",IF(Feuil1!E35=1,0.2*Feuil1!D35,IF(Feuil1!E35=2,0.16*Feuil1!D35,IF(Feuil1!E35=3,0.12*Feuil1!D35,0))),0),0)</f>
        <v>0</v>
      </c>
      <c r="L35" s="184">
        <f>IF('Saisie immeuble'!C32&gt;0,IF('Saisie immeuble'!C32&gt;57,('Saisie immeuble'!C32-57)*55,('Saisie immeuble'!C32-57)*35),0)</f>
        <v>0</v>
      </c>
      <c r="M35" s="184">
        <f>IF('Saisie immeuble'!C32&gt;0,IF('Saisie immeuble'!$H$7=Feuil1!$B$78,IF(Feuil1!E35=1,700,IF(Feuil1!E35=2,550,400)),IF('Saisie immeuble'!$H$7=Feuil1!$B$79,IF(Feuil1!E35=1,350,IF(Feuil1!E35=2,275,200)),0))*(1-((57-'Saisie immeuble'!C32)/100)),0)</f>
        <v>0</v>
      </c>
      <c r="N35" s="223" t="e">
        <f>D35-IF('Saisie immeuble'!G32=Feuil1!$B$68,Feuil1!F35,IF('Saisie immeuble'!G32=Feuil1!$B$69,G35,0))-H35-I35-J35+L35-K35+M35</f>
        <v>#VALUE!</v>
      </c>
      <c r="O35" s="223" t="e">
        <f t="shared" si="9"/>
        <v>#VALUE!</v>
      </c>
      <c r="P35" s="223" t="e">
        <f>IF('Saisie immeuble'!$C$5="individuel",N35/AJ35,O35/AJ35)</f>
        <v>#VALUE!</v>
      </c>
      <c r="Q35" s="224" t="e">
        <f t="shared" si="10"/>
        <v>#VALUE!</v>
      </c>
      <c r="R35" s="228" t="e">
        <f>VLOOKUP('Saisie immeuble'!E32,Feuil1!$G$58:$I$75,3,0)</f>
        <v>#N/A</v>
      </c>
      <c r="S35" s="184" t="e">
        <f>VLOOKUP('Saisie immeuble'!F32,Feuil1!$Q$57:$U$70,5,0)</f>
        <v>#N/A</v>
      </c>
      <c r="T35" s="184" t="e">
        <f>IF(AND(R35&lt;&gt;"élec",(S35&lt;&gt;"élec"),('Saisie immeuble'!C32&lt;40)),'Référence&amp;tarifs'!$A$6,IF(AND(R35="élec",(S35="élec")),'Référence&amp;tarifs'!$A$8,'Référence&amp;tarifs'!$A$7))</f>
        <v>#N/A</v>
      </c>
      <c r="U35" s="184" t="e">
        <f>VLOOKUP(T35,'Référence&amp;tarifs'!$A$6:$C$10,2,0)</f>
        <v>#N/A</v>
      </c>
      <c r="V35" s="184" t="e">
        <f>VLOOKUP(T35,'Référence&amp;tarifs'!$A$6:$C$10,3,0)</f>
        <v>#N/A</v>
      </c>
      <c r="W35" s="184"/>
      <c r="X35" s="236" t="e">
        <f>IF('Résultat immeuble'!#REF!&lt;1.1,HLOOKUP(Feuil1!T35,'Référence&amp;tarifs'!#REF!,2,0),IF('Résultat immeuble'!#REF!&gt;1.9,HLOOKUP(Feuil1!T35,'Référence&amp;tarifs'!#REF!,4,0),HLOOKUP(Feuil1!T35,'Référence&amp;tarifs'!#REF!,3,0)))</f>
        <v>#REF!</v>
      </c>
      <c r="Y35" s="228" t="e">
        <f>IF(R35="gaz",N35,0)+IF(S35="gaz",AT35,0)+IF('Saisie immeuble'!H32="gaz de ville",Feuil1!AH35,0)</f>
        <v>#N/A</v>
      </c>
      <c r="Z35" s="184" t="e">
        <f>IF(Y35&lt;1000,'Référence&amp;tarifs'!$A$16,IF(Y35&gt;5999,'Référence&amp;tarifs'!$A$18,'Référence&amp;tarifs'!$A$17))</f>
        <v>#N/A</v>
      </c>
      <c r="AA35" s="184" t="e">
        <f>VLOOKUP(Z35,'Référence&amp;tarifs'!$A$16:$C$18,2,0)</f>
        <v>#N/A</v>
      </c>
      <c r="AB35" s="184" t="e">
        <f>VLOOKUP(Z35,'Référence&amp;tarifs'!$A$16:$C$18,3,0)</f>
        <v>#N/A</v>
      </c>
      <c r="AC35" s="229" t="e">
        <f>IF('Saisie immeuble'!$C$5="individuel",IF('Résultat immeuble'!#REF!=1,HLOOKUP(Feuil1!Z35,'Référence&amp;tarifs'!#REF!,2,0),IF('Résultat immeuble'!#REF!&gt;1.9,HLOOKUP(Feuil1!Z35,'Référence&amp;tarifs'!#REF!,4,0),HLOOKUP(Feuil1!Z35,'Référence&amp;tarifs'!#REF!,3,0))),IF('Saisie immeuble'!$C$5="collectif",IF('Résultat immeuble'!#REF!=1,'Référence&amp;tarifs'!#REF!,IF('Résultat immeuble'!#REF!&gt;1.9,'Référence&amp;tarifs'!#REF!,IF(AND('Résultat immeuble'!#REF!&lt;2,('Résultat immeuble'!#REF!&gt;1)),'Référence&amp;tarifs'!#REF!,0)))))</f>
        <v>#REF!</v>
      </c>
      <c r="AD35" s="230">
        <f>IF('Saisie immeuble'!I32+'Saisie immeuble'!J32&gt;0,18*'Saisie immeuble'!C32+3.5*('Saisie immeuble'!I32+'Saisie immeuble'!J32-1)*'Saisie immeuble'!C32,0)</f>
        <v>0</v>
      </c>
      <c r="AE35" s="231"/>
      <c r="AF35" s="232"/>
      <c r="AG35" s="233" t="e">
        <f t="shared" si="11"/>
        <v>#N/A</v>
      </c>
      <c r="AH35" s="228">
        <f>IF('Saisie immeuble'!I32+'Saisie immeuble'!J32&gt;0,350+80*('Saisie immeuble'!I32+'Saisie immeuble'!J32-1),0)</f>
        <v>0</v>
      </c>
      <c r="AI35" s="233" t="e">
        <f>IF('Saisie immeuble'!H32="gaz de ville",Feuil1!AB35,IF('Saisie immeuble'!H32=$B$72,V35,0))*Feuil1!AH35+IF(AND(R35&lt;&gt;"gaz",(S35&lt;&gt;"gaz"),('Saisie immeuble'!H32="gaz de ville")),Feuil1!AA35,0)</f>
        <v>#N/A</v>
      </c>
      <c r="AJ35" s="228" t="e">
        <f>VLOOKUP('Saisie immeuble'!E32,Feuil1!$G$58:$I$75,2,0)</f>
        <v>#N/A</v>
      </c>
      <c r="AK35" s="184" t="e">
        <f>VLOOKUP('Saisie immeuble'!E32,Feuil1!$G$58:$I$75,3,0)</f>
        <v>#N/A</v>
      </c>
      <c r="AL35" s="234" t="e">
        <f>IF(AK35="élec",V35,IF(AK35="gaz",AB35,IF(AK35="fioul",'Référence&amp;tarifs'!$B$25,IF(AK35="bois buche",'Référence&amp;tarifs'!$B$23,IF(AK35="bois granulés",'Référence&amp;tarifs'!$B$24,IF(AK35=I79,0.8*('Référence&amp;tarifs'!$B$23+'Référence&amp;tarifs'!B37)/2+0.2*Feuil1!AB35,0))))))</f>
        <v>#N/A</v>
      </c>
      <c r="AM35" s="228">
        <f>IF('Saisie immeuble'!I32+'Saisie immeuble'!J32&gt;0,Feuil1!$AM$13+2*('Saisie immeuble'!I32+'Saisie immeuble'!J32-1),0)</f>
        <v>0</v>
      </c>
      <c r="AN35" s="184">
        <f>IF('Saisie immeuble'!I32+'Saisie immeuble'!J32&gt;0,Feuil1!$AN$13*('Saisie immeuble'!I32+'Saisie immeuble'!J32),0)</f>
        <v>0</v>
      </c>
      <c r="AO35" s="184">
        <f>IF('Saisie immeuble'!I32+'Saisie immeuble'!J32&gt;0,Feuil1!$AO$13+3*('Saisie immeuble'!I32+'Saisie immeuble'!J32-1),0)</f>
        <v>0</v>
      </c>
      <c r="AP35" s="184">
        <f>IF('Saisie immeuble'!I32+'Saisie immeuble'!J32&gt;0,Feuil1!$AP$13+2*('Saisie immeuble'!I32+'Saisie immeuble'!J32-1),0)</f>
        <v>0</v>
      </c>
      <c r="AQ35" s="184">
        <f>IF('Saisie immeuble'!I32+'Saisie immeuble'!J32&gt;0,Feuil1!$AQ$13*('Saisie immeuble'!I32+'Saisie immeuble'!J32),0)</f>
        <v>0</v>
      </c>
      <c r="AR35" s="184">
        <f t="shared" si="8"/>
        <v>0</v>
      </c>
      <c r="AS35" s="224" t="e">
        <f>AR35*'Saisie immeuble'!$F$8+IF(AND(R35&lt;&gt;"gaz",(S35="gaz")),AA35,0)</f>
        <v>#N/A</v>
      </c>
      <c r="AT35" s="228">
        <f>IF('Saisie immeuble'!I32+'Saisie immeuble'!J32&gt;0,1100+700*('Saisie immeuble'!I32+'Saisie immeuble'!J32-1),0)</f>
        <v>0</v>
      </c>
      <c r="AU35" s="235" t="e">
        <f>IF(AW35="élec",Feuil1!V35,IF(AW35="gaz",Feuil1!AB35,IF(AW35="fioul",'Référence&amp;tarifs'!$B$25,IF(AW35="bois",('Référence&amp;tarifs'!$B$23+'Référence&amp;tarifs'!$B$24)/2,0))))</f>
        <v>#N/A</v>
      </c>
      <c r="AV35" s="184" t="e">
        <f>VLOOKUP('Saisie immeuble'!F32,Feuil1!$Q$57:$U$70,4,0)</f>
        <v>#N/A</v>
      </c>
      <c r="AW35" s="184" t="e">
        <f>VLOOKUP('Saisie immeuble'!F32,Feuil1!$Q$57:$U$70,5,0)</f>
        <v>#N/A</v>
      </c>
      <c r="AX35" s="233" t="e">
        <f t="shared" si="12"/>
        <v>#N/A</v>
      </c>
    </row>
    <row r="36" spans="2:50" x14ac:dyDescent="0.25">
      <c r="B36" s="228" t="s">
        <v>111</v>
      </c>
      <c r="C36" s="184">
        <f>IF('Saisie immeuble'!D33=Feuil1!$B$4,4,IF(AND('Saisie immeuble'!D33=$B$5,('Saisie immeuble'!$C$4=Feuil1!$C$5)),5,IF(AND('Saisie immeuble'!D33=$B$5,('Saisie immeuble'!$C$4=Feuil1!$C$6)),6,IF(AND('Saisie immeuble'!D33=Feuil1!$B$7,('Saisie immeuble'!$C$4=Feuil1!$C$7)),7,IF(AND('Saisie immeuble'!D33=Feuil1!$B$7,('Saisie immeuble'!$C$4=Feuil1!$C$8)),8,0)))))</f>
        <v>0</v>
      </c>
      <c r="D36" s="223" t="e">
        <f>HLOOKUP('Saisie immeuble'!$C$3,Feuil1!$D$1:$BM$8,Feuil1!C36,0)</f>
        <v>#VALUE!</v>
      </c>
      <c r="E36" s="184">
        <f>HLOOKUP('Saisie immeuble'!$C$3,Feuil1!$D$1:$BM$8,3,0)</f>
        <v>3</v>
      </c>
      <c r="F36" s="184">
        <f>IF(E36=1,450+'Saisie immeuble'!C33*6,IF(E36=2,300+'Saisie immeuble'!C33*5,150+'Saisie immeuble'!C33*3))</f>
        <v>150</v>
      </c>
      <c r="G36" s="184">
        <f>IF(E36=1,1400+'Saisie immeuble'!C33*6,IF(E36=2,1100+'Saisie immeuble'!C33*6,500+'Saisie immeuble'!C33*6))</f>
        <v>500</v>
      </c>
      <c r="H36" s="223">
        <f>IF('Saisie immeuble'!$C$6="oui",IF('Saisie immeuble'!D33="dernier étage",IF(Feuil1!E36=1,0.4*Feuil1!D36,IF(Feuil1!E36=2,0.35*Feuil1!D36,IF(Feuil1!E36=3,0.3*Feuil1!D36,0))),0),0)</f>
        <v>0</v>
      </c>
      <c r="I36" s="223" t="e">
        <f>IF('Saisie immeuble'!$C$7="oui",IF(AND(Feuil1!E36=1,('Saisie immeuble'!$C$4=Feuil1!$C$5)),0.3*Feuil1!D36,IF(AND(Feuil1!E36=1,('Saisie immeuble'!$C$4=Feuil1!$C$6)),0.2*Feuil1!D36,IF(AND(Feuil1!E36=2,('Saisie immeuble'!$C$4=Feuil1!$C$5)),0.25*Feuil1!D36,IF(AND(Feuil1!E36=2,('Saisie immeuble'!$C$4=Feuil1!$C$6)),0.15*Feuil1!D36,IF(AND(Feuil1!E36=3,('Saisie immeuble'!$C$4=Feuil1!$C$5)),0.2*Feuil1!D36,IF(AND(Feuil1!E36=3,('Saisie immeuble'!$C$4=Feuil1!$C$6)),0.12*Feuil1!D36)))))),0)</f>
        <v>#VALUE!</v>
      </c>
      <c r="J36" s="223" t="e">
        <f>IF('Saisie immeuble'!$C$8="oui",IF(AND(Feuil1!E36=1,('Saisie immeuble'!$C$4=Feuil1!$C$5)),0.22*Feuil1!D36,IF(AND(Feuil1!E36=1,('Saisie immeuble'!$C$4=Feuil1!$C$6)),0.14*Feuil1!D36,IF(AND(Feuil1!E36=2,('Saisie immeuble'!$C$4=Feuil1!$C$5)),0.2*Feuil1!D36,IF(AND(Feuil1!E36=2,('Saisie immeuble'!$C$4=Feuil1!$C$6)),0.12*Feuil1!D36,IF(AND(Feuil1!E36=3,('Saisie immeuble'!$C$4=Feuil1!$C$5)),0.16*Feuil1!D36,IF(AND(Feuil1!E36=3,('Saisie immeuble'!$C$4=Feuil1!$C$6)),0.1*Feuil1!D36)))))),0)</f>
        <v>#VALUE!</v>
      </c>
      <c r="K36" s="223">
        <f>IF('Saisie immeuble'!$F$7="oui",IF('Saisie immeuble'!D33="rez de chaussée",IF(Feuil1!E36=1,0.2*Feuil1!D36,IF(Feuil1!E36=2,0.16*Feuil1!D36,IF(Feuil1!E36=3,0.12*Feuil1!D36,0))),0),0)</f>
        <v>0</v>
      </c>
      <c r="L36" s="184">
        <f>IF('Saisie immeuble'!C33&gt;0,IF('Saisie immeuble'!C33&gt;57,('Saisie immeuble'!C33-57)*55,('Saisie immeuble'!C33-57)*35),0)</f>
        <v>0</v>
      </c>
      <c r="M36" s="184">
        <f>IF('Saisie immeuble'!C33&gt;0,IF('Saisie immeuble'!$H$7=Feuil1!$B$78,IF(Feuil1!E36=1,700,IF(Feuil1!E36=2,550,400)),IF('Saisie immeuble'!$H$7=Feuil1!$B$79,IF(Feuil1!E36=1,350,IF(Feuil1!E36=2,275,200)),0))*(1-((57-'Saisie immeuble'!C33)/100)),0)</f>
        <v>0</v>
      </c>
      <c r="N36" s="223" t="e">
        <f>D36-IF('Saisie immeuble'!G33=Feuil1!$B$68,Feuil1!F36,IF('Saisie immeuble'!G33=Feuil1!$B$69,G36,0))-H36-I36-J36+L36-K36+M36</f>
        <v>#VALUE!</v>
      </c>
      <c r="O36" s="223" t="e">
        <f t="shared" si="9"/>
        <v>#VALUE!</v>
      </c>
      <c r="P36" s="223" t="e">
        <f>IF('Saisie immeuble'!$C$5="individuel",N36/AJ36,O36/AJ36)</f>
        <v>#VALUE!</v>
      </c>
      <c r="Q36" s="224" t="e">
        <f t="shared" si="10"/>
        <v>#VALUE!</v>
      </c>
      <c r="R36" s="228" t="e">
        <f>VLOOKUP('Saisie immeuble'!E33,Feuil1!$G$58:$I$75,3,0)</f>
        <v>#N/A</v>
      </c>
      <c r="S36" s="184" t="e">
        <f>VLOOKUP('Saisie immeuble'!F33,Feuil1!$Q$57:$U$70,5,0)</f>
        <v>#N/A</v>
      </c>
      <c r="T36" s="184" t="e">
        <f>IF(AND(R36&lt;&gt;"élec",(S36&lt;&gt;"élec"),('Saisie immeuble'!C33&lt;40)),'Référence&amp;tarifs'!$A$6,IF(AND(R36="élec",(S36="élec")),'Référence&amp;tarifs'!$A$8,'Référence&amp;tarifs'!$A$7))</f>
        <v>#N/A</v>
      </c>
      <c r="U36" s="184" t="e">
        <f>VLOOKUP(T36,'Référence&amp;tarifs'!$A$6:$C$10,2,0)</f>
        <v>#N/A</v>
      </c>
      <c r="V36" s="184" t="e">
        <f>VLOOKUP(T36,'Référence&amp;tarifs'!$A$6:$C$10,3,0)</f>
        <v>#N/A</v>
      </c>
      <c r="W36" s="184"/>
      <c r="X36" s="236" t="e">
        <f>IF('Résultat immeuble'!S24&lt;1.1,HLOOKUP(Feuil1!T36,'Référence&amp;tarifs'!#REF!,2,0),IF('Résultat immeuble'!S24&gt;1.9,HLOOKUP(Feuil1!T36,'Référence&amp;tarifs'!#REF!,4,0),HLOOKUP(Feuil1!T36,'Référence&amp;tarifs'!#REF!,3,0)))</f>
        <v>#N/A</v>
      </c>
      <c r="Y36" s="228" t="e">
        <f>IF(R36="gaz",N36,0)+IF(S36="gaz",AT36,0)+IF('Saisie immeuble'!H33="gaz de ville",Feuil1!AH36,0)</f>
        <v>#N/A</v>
      </c>
      <c r="Z36" s="184" t="e">
        <f>IF(Y36&lt;1000,'Référence&amp;tarifs'!$A$16,IF(Y36&gt;5999,'Référence&amp;tarifs'!$A$18,'Référence&amp;tarifs'!$A$17))</f>
        <v>#N/A</v>
      </c>
      <c r="AA36" s="184" t="e">
        <f>VLOOKUP(Z36,'Référence&amp;tarifs'!$A$16:$C$18,2,0)</f>
        <v>#N/A</v>
      </c>
      <c r="AB36" s="184" t="e">
        <f>VLOOKUP(Z36,'Référence&amp;tarifs'!$A$16:$C$18,3,0)</f>
        <v>#N/A</v>
      </c>
      <c r="AC36" s="229" t="e">
        <f>IF('Saisie immeuble'!$C$5="individuel",IF('Résultat immeuble'!S24=1,HLOOKUP(Feuil1!Z36,'Référence&amp;tarifs'!#REF!,2,0),IF('Résultat immeuble'!S24&gt;1.9,HLOOKUP(Feuil1!Z36,'Référence&amp;tarifs'!#REF!,4,0),HLOOKUP(Feuil1!Z36,'Référence&amp;tarifs'!#REF!,3,0))),IF('Saisie immeuble'!$C$5="collectif",IF('Résultat immeuble'!S24=1,'Référence&amp;tarifs'!#REF!,IF('Résultat immeuble'!S24&gt;1.9,'Référence&amp;tarifs'!#REF!,IF(AND('Résultat immeuble'!S24&lt;2,('Résultat immeuble'!S24&gt;1)),'Référence&amp;tarifs'!#REF!,0)))))</f>
        <v>#N/A</v>
      </c>
      <c r="AD36" s="230">
        <f>IF('Saisie immeuble'!I33+'Saisie immeuble'!J33&gt;0,18*'Saisie immeuble'!C33+3.5*('Saisie immeuble'!I33+'Saisie immeuble'!J33-1)*'Saisie immeuble'!C33,0)</f>
        <v>0</v>
      </c>
      <c r="AE36" s="231"/>
      <c r="AF36" s="232"/>
      <c r="AG36" s="233" t="e">
        <f t="shared" si="11"/>
        <v>#N/A</v>
      </c>
      <c r="AH36" s="228">
        <f>IF('Saisie immeuble'!I33+'Saisie immeuble'!J33&gt;0,350+80*('Saisie immeuble'!I33+'Saisie immeuble'!J33-1),0)</f>
        <v>0</v>
      </c>
      <c r="AI36" s="233" t="e">
        <f>IF('Saisie immeuble'!H33="gaz de ville",Feuil1!AB36,IF('Saisie immeuble'!H33=$B$72,V36,0))*Feuil1!AH36+IF(AND(R36&lt;&gt;"gaz",(S36&lt;&gt;"gaz"),('Saisie immeuble'!H33="gaz de ville")),Feuil1!AA36,0)</f>
        <v>#N/A</v>
      </c>
      <c r="AJ36" s="228" t="e">
        <f>VLOOKUP('Saisie immeuble'!E33,Feuil1!$G$58:$I$75,2,0)</f>
        <v>#N/A</v>
      </c>
      <c r="AK36" s="184" t="e">
        <f>VLOOKUP('Saisie immeuble'!E33,Feuil1!$G$58:$I$75,3,0)</f>
        <v>#N/A</v>
      </c>
      <c r="AL36" s="234" t="e">
        <f>IF(AK36="élec",V36,IF(AK36="gaz",AB36,IF(AK36="fioul",'Référence&amp;tarifs'!$B$25,IF(AK36="bois buche",'Référence&amp;tarifs'!$B$23,IF(AK36="bois granulés",'Référence&amp;tarifs'!$B$24,IF(AK36=I80,0.8*('Référence&amp;tarifs'!$B$23+'Référence&amp;tarifs'!B38)/2+0.2*Feuil1!AB36,0))))))</f>
        <v>#N/A</v>
      </c>
      <c r="AM36" s="228">
        <f>IF('Saisie immeuble'!I33+'Saisie immeuble'!J33&gt;0,Feuil1!$AM$13+2*('Saisie immeuble'!I33+'Saisie immeuble'!J33-1),0)</f>
        <v>0</v>
      </c>
      <c r="AN36" s="184">
        <f>IF('Saisie immeuble'!I33+'Saisie immeuble'!J33&gt;0,Feuil1!$AN$13*('Saisie immeuble'!I33+'Saisie immeuble'!J33),0)</f>
        <v>0</v>
      </c>
      <c r="AO36" s="184">
        <f>IF('Saisie immeuble'!I33+'Saisie immeuble'!J33&gt;0,Feuil1!$AO$13+3*('Saisie immeuble'!I33+'Saisie immeuble'!J33-1),0)</f>
        <v>0</v>
      </c>
      <c r="AP36" s="184">
        <f>IF('Saisie immeuble'!I33+'Saisie immeuble'!J33&gt;0,Feuil1!$AP$13+2*('Saisie immeuble'!I33+'Saisie immeuble'!J33-1),0)</f>
        <v>0</v>
      </c>
      <c r="AQ36" s="184">
        <f>IF('Saisie immeuble'!I33+'Saisie immeuble'!J33&gt;0,Feuil1!$AQ$13*('Saisie immeuble'!I33+'Saisie immeuble'!J33),0)</f>
        <v>0</v>
      </c>
      <c r="AR36" s="184">
        <f t="shared" si="8"/>
        <v>0</v>
      </c>
      <c r="AS36" s="224" t="e">
        <f>AR36*'Saisie immeuble'!$F$8+IF(AND(R36&lt;&gt;"gaz",(S36="gaz")),AA36,0)</f>
        <v>#N/A</v>
      </c>
      <c r="AT36" s="228">
        <f>IF('Saisie immeuble'!I33+'Saisie immeuble'!J33&gt;0,1100+700*('Saisie immeuble'!I33+'Saisie immeuble'!J33-1),0)</f>
        <v>0</v>
      </c>
      <c r="AU36" s="235" t="e">
        <f>IF(AW36="élec",Feuil1!V36,IF(AW36="gaz",Feuil1!AB36,IF(AW36="fioul",'Référence&amp;tarifs'!$B$25,IF(AW36="bois",('Référence&amp;tarifs'!$B$23+'Référence&amp;tarifs'!$B$24)/2,0))))</f>
        <v>#N/A</v>
      </c>
      <c r="AV36" s="184" t="e">
        <f>VLOOKUP('Saisie immeuble'!F33,Feuil1!$Q$57:$U$70,4,0)</f>
        <v>#N/A</v>
      </c>
      <c r="AW36" s="184" t="e">
        <f>VLOOKUP('Saisie immeuble'!F33,Feuil1!$Q$57:$U$70,5,0)</f>
        <v>#N/A</v>
      </c>
      <c r="AX36" s="233" t="e">
        <f t="shared" si="12"/>
        <v>#N/A</v>
      </c>
    </row>
    <row r="37" spans="2:50" x14ac:dyDescent="0.25">
      <c r="B37" s="228" t="s">
        <v>112</v>
      </c>
      <c r="C37" s="184">
        <f>IF('Saisie immeuble'!D34=Feuil1!$B$4,4,IF(AND('Saisie immeuble'!D34=$B$5,('Saisie immeuble'!$C$4=Feuil1!$C$5)),5,IF(AND('Saisie immeuble'!D34=$B$5,('Saisie immeuble'!$C$4=Feuil1!$C$6)),6,IF(AND('Saisie immeuble'!D34=Feuil1!$B$7,('Saisie immeuble'!$C$4=Feuil1!$C$7)),7,IF(AND('Saisie immeuble'!D34=Feuil1!$B$7,('Saisie immeuble'!$C$4=Feuil1!$C$8)),8,0)))))</f>
        <v>0</v>
      </c>
      <c r="D37" s="223" t="e">
        <f>HLOOKUP('Saisie immeuble'!$C$3,Feuil1!$D$1:$BM$8,Feuil1!C37,0)</f>
        <v>#VALUE!</v>
      </c>
      <c r="E37" s="184">
        <f>HLOOKUP('Saisie immeuble'!$C$3,Feuil1!$D$1:$BM$8,3,0)</f>
        <v>3</v>
      </c>
      <c r="F37" s="184">
        <f>IF(E37=1,450+'Saisie immeuble'!C34*6,IF(E37=2,300+'Saisie immeuble'!C34*5,150+'Saisie immeuble'!C34*3))</f>
        <v>150</v>
      </c>
      <c r="G37" s="184">
        <f>IF(E37=1,1400+'Saisie immeuble'!C34*6,IF(E37=2,1100+'Saisie immeuble'!C34*6,500+'Saisie immeuble'!C34*6))</f>
        <v>500</v>
      </c>
      <c r="H37" s="223">
        <f>IF('Saisie immeuble'!$C$6="oui",IF('Saisie immeuble'!D34="dernier étage",IF(Feuil1!E37=1,0.4*Feuil1!D37,IF(Feuil1!E37=2,0.35*Feuil1!D37,IF(Feuil1!E37=3,0.3*Feuil1!D37,0))),0),0)</f>
        <v>0</v>
      </c>
      <c r="I37" s="223" t="e">
        <f>IF('Saisie immeuble'!$C$7="oui",IF(AND(Feuil1!E37=1,('Saisie immeuble'!$C$4=Feuil1!$C$5)),0.3*Feuil1!D37,IF(AND(Feuil1!E37=1,('Saisie immeuble'!$C$4=Feuil1!$C$6)),0.2*Feuil1!D37,IF(AND(Feuil1!E37=2,('Saisie immeuble'!$C$4=Feuil1!$C$5)),0.25*Feuil1!D37,IF(AND(Feuil1!E37=2,('Saisie immeuble'!$C$4=Feuil1!$C$6)),0.15*Feuil1!D37,IF(AND(Feuil1!E37=3,('Saisie immeuble'!$C$4=Feuil1!$C$5)),0.2*Feuil1!D37,IF(AND(Feuil1!E37=3,('Saisie immeuble'!$C$4=Feuil1!$C$6)),0.12*Feuil1!D37)))))),0)</f>
        <v>#VALUE!</v>
      </c>
      <c r="J37" s="223" t="e">
        <f>IF('Saisie immeuble'!$C$8="oui",IF(AND(Feuil1!E37=1,('Saisie immeuble'!$C$4=Feuil1!$C$5)),0.22*Feuil1!D37,IF(AND(Feuil1!E37=1,('Saisie immeuble'!$C$4=Feuil1!$C$6)),0.14*Feuil1!D37,IF(AND(Feuil1!E37=2,('Saisie immeuble'!$C$4=Feuil1!$C$5)),0.2*Feuil1!D37,IF(AND(Feuil1!E37=2,('Saisie immeuble'!$C$4=Feuil1!$C$6)),0.12*Feuil1!D37,IF(AND(Feuil1!E37=3,('Saisie immeuble'!$C$4=Feuil1!$C$5)),0.16*Feuil1!D37,IF(AND(Feuil1!E37=3,('Saisie immeuble'!$C$4=Feuil1!$C$6)),0.1*Feuil1!D37)))))),0)</f>
        <v>#VALUE!</v>
      </c>
      <c r="K37" s="223">
        <f>IF('Saisie immeuble'!$F$7="oui",IF('Saisie immeuble'!D34="rez de chaussée",IF(Feuil1!E37=1,0.2*Feuil1!D37,IF(Feuil1!E37=2,0.16*Feuil1!D37,IF(Feuil1!E37=3,0.12*Feuil1!D37,0))),0),0)</f>
        <v>0</v>
      </c>
      <c r="L37" s="184">
        <f>IF('Saisie immeuble'!C34&gt;0,IF('Saisie immeuble'!C34&gt;57,('Saisie immeuble'!C34-57)*55,('Saisie immeuble'!C34-57)*35),0)</f>
        <v>0</v>
      </c>
      <c r="M37" s="184">
        <f>IF('Saisie immeuble'!C34&gt;0,IF('Saisie immeuble'!$H$7=Feuil1!$B$78,IF(Feuil1!E37=1,700,IF(Feuil1!E37=2,550,400)),IF('Saisie immeuble'!$H$7=Feuil1!$B$79,IF(Feuil1!E37=1,350,IF(Feuil1!E37=2,275,200)),0))*(1-((57-'Saisie immeuble'!C34)/100)),0)</f>
        <v>0</v>
      </c>
      <c r="N37" s="223" t="e">
        <f>D37-IF('Saisie immeuble'!G34=Feuil1!$B$68,Feuil1!F37,IF('Saisie immeuble'!G34=Feuil1!$B$69,G37,0))-H37-I37-J37+L37-K37+M37</f>
        <v>#VALUE!</v>
      </c>
      <c r="O37" s="223" t="e">
        <f t="shared" si="9"/>
        <v>#VALUE!</v>
      </c>
      <c r="P37" s="223" t="e">
        <f>IF('Saisie immeuble'!$C$5="individuel",N37/AJ37,O37/AJ37)</f>
        <v>#VALUE!</v>
      </c>
      <c r="Q37" s="224" t="e">
        <f t="shared" si="10"/>
        <v>#VALUE!</v>
      </c>
      <c r="R37" s="228" t="e">
        <f>VLOOKUP('Saisie immeuble'!E34,Feuil1!$G$58:$I$75,3,0)</f>
        <v>#N/A</v>
      </c>
      <c r="S37" s="184" t="e">
        <f>VLOOKUP('Saisie immeuble'!F34,Feuil1!$Q$57:$U$70,5,0)</f>
        <v>#N/A</v>
      </c>
      <c r="T37" s="184" t="e">
        <f>IF(AND(R37&lt;&gt;"élec",(S37&lt;&gt;"élec"),('Saisie immeuble'!C34&lt;40)),'Référence&amp;tarifs'!$A$6,IF(AND(R37="élec",(S37="élec")),'Référence&amp;tarifs'!$A$8,'Référence&amp;tarifs'!$A$7))</f>
        <v>#N/A</v>
      </c>
      <c r="U37" s="184" t="e">
        <f>VLOOKUP(T37,'Référence&amp;tarifs'!$A$6:$C$10,2,0)</f>
        <v>#N/A</v>
      </c>
      <c r="V37" s="184" t="e">
        <f>VLOOKUP(T37,'Référence&amp;tarifs'!$A$6:$C$10,3,0)</f>
        <v>#N/A</v>
      </c>
      <c r="W37" s="184"/>
      <c r="X37" s="236" t="e">
        <f>IF('Résultat immeuble'!#REF!&lt;1.1,HLOOKUP(Feuil1!T37,'Référence&amp;tarifs'!#REF!,2,0),IF('Résultat immeuble'!#REF!&gt;1.9,HLOOKUP(Feuil1!T37,'Référence&amp;tarifs'!#REF!,4,0),HLOOKUP(Feuil1!T37,'Référence&amp;tarifs'!#REF!,3,0)))</f>
        <v>#REF!</v>
      </c>
      <c r="Y37" s="228" t="e">
        <f>IF(R37="gaz",N37,0)+IF(S37="gaz",AT37,0)+IF('Saisie immeuble'!H34="gaz de ville",Feuil1!AH37,0)</f>
        <v>#N/A</v>
      </c>
      <c r="Z37" s="184" t="e">
        <f>IF(Y37&lt;1000,'Référence&amp;tarifs'!$A$16,IF(Y37&gt;5999,'Référence&amp;tarifs'!$A$18,'Référence&amp;tarifs'!$A$17))</f>
        <v>#N/A</v>
      </c>
      <c r="AA37" s="184" t="e">
        <f>VLOOKUP(Z37,'Référence&amp;tarifs'!$A$16:$C$18,2,0)</f>
        <v>#N/A</v>
      </c>
      <c r="AB37" s="184" t="e">
        <f>VLOOKUP(Z37,'Référence&amp;tarifs'!$A$16:$C$18,3,0)</f>
        <v>#N/A</v>
      </c>
      <c r="AC37" s="229" t="e">
        <f>IF('Saisie immeuble'!$C$5="individuel",IF('Résultat immeuble'!#REF!=1,HLOOKUP(Feuil1!Z37,'Référence&amp;tarifs'!#REF!,2,0),IF('Résultat immeuble'!#REF!&gt;1.9,HLOOKUP(Feuil1!Z37,'Référence&amp;tarifs'!#REF!,4,0),HLOOKUP(Feuil1!Z37,'Référence&amp;tarifs'!#REF!,3,0))),IF('Saisie immeuble'!$C$5="collectif",IF('Résultat immeuble'!#REF!=1,'Référence&amp;tarifs'!#REF!,IF('Résultat immeuble'!#REF!&gt;1.9,'Référence&amp;tarifs'!#REF!,IF(AND('Résultat immeuble'!#REF!&lt;2,('Résultat immeuble'!#REF!&gt;1)),'Référence&amp;tarifs'!#REF!,0)))))</f>
        <v>#REF!</v>
      </c>
      <c r="AD37" s="230">
        <f>IF('Saisie immeuble'!I34+'Saisie immeuble'!J34&gt;0,18*'Saisie immeuble'!C34+3.5*('Saisie immeuble'!I34+'Saisie immeuble'!J34-1)*'Saisie immeuble'!C34,0)</f>
        <v>0</v>
      </c>
      <c r="AE37" s="231"/>
      <c r="AF37" s="232"/>
      <c r="AG37" s="233" t="e">
        <f t="shared" si="11"/>
        <v>#N/A</v>
      </c>
      <c r="AH37" s="228">
        <f>IF('Saisie immeuble'!I34+'Saisie immeuble'!J34&gt;0,350+80*('Saisie immeuble'!I34+'Saisie immeuble'!J34-1),0)</f>
        <v>0</v>
      </c>
      <c r="AI37" s="233" t="e">
        <f>IF('Saisie immeuble'!H34="gaz de ville",Feuil1!AB37,IF('Saisie immeuble'!H34=$B$72,V37,0))*Feuil1!AH37+IF(AND(R37&lt;&gt;"gaz",(S37&lt;&gt;"gaz"),('Saisie immeuble'!H34="gaz de ville")),Feuil1!AA37,0)</f>
        <v>#N/A</v>
      </c>
      <c r="AJ37" s="228" t="e">
        <f>VLOOKUP('Saisie immeuble'!E34,Feuil1!$G$58:$I$75,2,0)</f>
        <v>#N/A</v>
      </c>
      <c r="AK37" s="184" t="e">
        <f>VLOOKUP('Saisie immeuble'!E34,Feuil1!$G$58:$I$75,3,0)</f>
        <v>#N/A</v>
      </c>
      <c r="AL37" s="234" t="e">
        <f>IF(AK37="élec",V37,IF(AK37="gaz",AB37,IF(AK37="fioul",'Référence&amp;tarifs'!$B$25,IF(AK37="bois buche",'Référence&amp;tarifs'!$B$23,IF(AK37="bois granulés",'Référence&amp;tarifs'!$B$24,IF(AK37=I81,0.8*('Référence&amp;tarifs'!$B$23+'Référence&amp;tarifs'!B39)/2+0.2*Feuil1!AB37,0))))))</f>
        <v>#N/A</v>
      </c>
      <c r="AM37" s="228">
        <f>IF('Saisie immeuble'!I34+'Saisie immeuble'!J34&gt;0,Feuil1!$AM$13+2*('Saisie immeuble'!I34+'Saisie immeuble'!J34-1),0)</f>
        <v>0</v>
      </c>
      <c r="AN37" s="184">
        <f>IF('Saisie immeuble'!I34+'Saisie immeuble'!J34&gt;0,Feuil1!$AN$13*('Saisie immeuble'!I34+'Saisie immeuble'!J34),0)</f>
        <v>0</v>
      </c>
      <c r="AO37" s="184">
        <f>IF('Saisie immeuble'!I34+'Saisie immeuble'!J34&gt;0,Feuil1!$AO$13+3*('Saisie immeuble'!I34+'Saisie immeuble'!J34-1),0)</f>
        <v>0</v>
      </c>
      <c r="AP37" s="184">
        <f>IF('Saisie immeuble'!I34+'Saisie immeuble'!J34&gt;0,Feuil1!$AP$13+2*('Saisie immeuble'!I34+'Saisie immeuble'!J34-1),0)</f>
        <v>0</v>
      </c>
      <c r="AQ37" s="184">
        <f>IF('Saisie immeuble'!I34+'Saisie immeuble'!J34&gt;0,Feuil1!$AQ$13*('Saisie immeuble'!I34+'Saisie immeuble'!J34),0)</f>
        <v>0</v>
      </c>
      <c r="AR37" s="184">
        <f t="shared" si="8"/>
        <v>0</v>
      </c>
      <c r="AS37" s="224" t="e">
        <f>AR37*'Saisie immeuble'!$F$8+IF(AND(R37&lt;&gt;"gaz",(S37="gaz")),AA37,0)</f>
        <v>#N/A</v>
      </c>
      <c r="AT37" s="228">
        <f>IF('Saisie immeuble'!I34+'Saisie immeuble'!J34&gt;0,1100+700*('Saisie immeuble'!I34+'Saisie immeuble'!J34-1),0)</f>
        <v>0</v>
      </c>
      <c r="AU37" s="235" t="e">
        <f>IF(AW37="élec",Feuil1!V37,IF(AW37="gaz",Feuil1!AB37,IF(AW37="fioul",'Référence&amp;tarifs'!$B$25,IF(AW37="bois",('Référence&amp;tarifs'!$B$23+'Référence&amp;tarifs'!$B$24)/2,0))))</f>
        <v>#N/A</v>
      </c>
      <c r="AV37" s="184" t="e">
        <f>VLOOKUP('Saisie immeuble'!F34,Feuil1!$Q$57:$U$70,4,0)</f>
        <v>#N/A</v>
      </c>
      <c r="AW37" s="184" t="e">
        <f>VLOOKUP('Saisie immeuble'!F34,Feuil1!$Q$57:$U$70,5,0)</f>
        <v>#N/A</v>
      </c>
      <c r="AX37" s="233" t="e">
        <f t="shared" si="12"/>
        <v>#N/A</v>
      </c>
    </row>
    <row r="38" spans="2:50" x14ac:dyDescent="0.25">
      <c r="B38" s="228" t="s">
        <v>407</v>
      </c>
      <c r="C38" s="184">
        <f>IF('Saisie immeuble'!D35=Feuil1!$B$4,4,IF(AND('Saisie immeuble'!D35=$B$5,('Saisie immeuble'!$C$4=Feuil1!$C$5)),5,IF(AND('Saisie immeuble'!D35=$B$5,('Saisie immeuble'!$C$4=Feuil1!$C$6)),6,IF(AND('Saisie immeuble'!D35=Feuil1!$B$7,('Saisie immeuble'!$C$4=Feuil1!$C$7)),7,IF(AND('Saisie immeuble'!D35=Feuil1!$B$7,('Saisie immeuble'!$C$4=Feuil1!$C$8)),8,0)))))</f>
        <v>0</v>
      </c>
      <c r="D38" s="223" t="e">
        <f>HLOOKUP('Saisie immeuble'!$C$3,Feuil1!$D$1:$BM$8,Feuil1!C38,0)</f>
        <v>#VALUE!</v>
      </c>
      <c r="E38" s="184">
        <f>HLOOKUP('Saisie immeuble'!$C$3,Feuil1!$D$1:$BM$8,3,0)</f>
        <v>3</v>
      </c>
      <c r="F38" s="184">
        <f>IF(E38=1,450+'Saisie immeuble'!C35*6,IF(E38=2,300+'Saisie immeuble'!C35*5,150+'Saisie immeuble'!C35*3))</f>
        <v>150</v>
      </c>
      <c r="G38" s="184">
        <f>IF(E38=1,1400+'Saisie immeuble'!C35*6,IF(E38=2,1100+'Saisie immeuble'!C35*6,500+'Saisie immeuble'!C35*6))</f>
        <v>500</v>
      </c>
      <c r="H38" s="223">
        <f>IF('Saisie immeuble'!$C$6="oui",IF('Saisie immeuble'!D35="dernier étage",IF(Feuil1!E38=1,0.4*Feuil1!D38,IF(Feuil1!E38=2,0.35*Feuil1!D38,IF(Feuil1!E38=3,0.3*Feuil1!D38,0))),0),0)</f>
        <v>0</v>
      </c>
      <c r="I38" s="223" t="e">
        <f>IF('Saisie immeuble'!$C$7="oui",IF(AND(Feuil1!E38=1,('Saisie immeuble'!$C$4=Feuil1!$C$5)),0.3*Feuil1!D38,IF(AND(Feuil1!E38=1,('Saisie immeuble'!$C$4=Feuil1!$C$6)),0.2*Feuil1!D38,IF(AND(Feuil1!E38=2,('Saisie immeuble'!$C$4=Feuil1!$C$5)),0.25*Feuil1!D38,IF(AND(Feuil1!E38=2,('Saisie immeuble'!$C$4=Feuil1!$C$6)),0.15*Feuil1!D38,IF(AND(Feuil1!E38=3,('Saisie immeuble'!$C$4=Feuil1!$C$5)),0.2*Feuil1!D38,IF(AND(Feuil1!E38=3,('Saisie immeuble'!$C$4=Feuil1!$C$6)),0.12*Feuil1!D38)))))),0)</f>
        <v>#VALUE!</v>
      </c>
      <c r="J38" s="223" t="e">
        <f>IF('Saisie immeuble'!$C$8="oui",IF(AND(Feuil1!E38=1,('Saisie immeuble'!$C$4=Feuil1!$C$5)),0.22*Feuil1!D38,IF(AND(Feuil1!E38=1,('Saisie immeuble'!$C$4=Feuil1!$C$6)),0.14*Feuil1!D38,IF(AND(Feuil1!E38=2,('Saisie immeuble'!$C$4=Feuil1!$C$5)),0.2*Feuil1!D38,IF(AND(Feuil1!E38=2,('Saisie immeuble'!$C$4=Feuil1!$C$6)),0.12*Feuil1!D38,IF(AND(Feuil1!E38=3,('Saisie immeuble'!$C$4=Feuil1!$C$5)),0.16*Feuil1!D38,IF(AND(Feuil1!E38=3,('Saisie immeuble'!$C$4=Feuil1!$C$6)),0.1*Feuil1!D38)))))),0)</f>
        <v>#VALUE!</v>
      </c>
      <c r="K38" s="223">
        <f>IF('Saisie immeuble'!$F$7="oui",IF('Saisie immeuble'!D35="rez de chaussée",IF(Feuil1!E38=1,0.2*Feuil1!D38,IF(Feuil1!E38=2,0.16*Feuil1!D38,IF(Feuil1!E38=3,0.12*Feuil1!D38,0))),0),0)</f>
        <v>0</v>
      </c>
      <c r="L38" s="184">
        <f>IF('Saisie immeuble'!C35&gt;0,IF('Saisie immeuble'!C35&gt;57,('Saisie immeuble'!C35-57)*55,('Saisie immeuble'!C35-57)*35),0)</f>
        <v>0</v>
      </c>
      <c r="M38" s="184">
        <f>IF('Saisie immeuble'!C35&gt;0,IF('Saisie immeuble'!$H$7=Feuil1!$B$78,IF(Feuil1!E38=1,700,IF(Feuil1!E38=2,550,400)),IF('Saisie immeuble'!$H$7=Feuil1!$B$79,IF(Feuil1!E38=1,350,IF(Feuil1!E38=2,275,200)),0))*(1-((57-'Saisie immeuble'!C35)/100)),0)</f>
        <v>0</v>
      </c>
      <c r="N38" s="223" t="e">
        <f>D38-IF('Saisie immeuble'!G35=Feuil1!$B$68,Feuil1!F38,IF('Saisie immeuble'!G35=Feuil1!$B$69,G38,0))-H38-I38-J38+L38-K38+M38</f>
        <v>#VALUE!</v>
      </c>
      <c r="O38" s="237" t="e">
        <f t="shared" si="9"/>
        <v>#VALUE!</v>
      </c>
      <c r="P38" s="223" t="e">
        <f>IF('Saisie immeuble'!$C$5="individuel",N38/AJ38,O38/AJ38)</f>
        <v>#VALUE!</v>
      </c>
      <c r="Q38" s="224" t="e">
        <f t="shared" si="10"/>
        <v>#VALUE!</v>
      </c>
      <c r="R38" s="228" t="e">
        <f>VLOOKUP('Saisie immeuble'!E35,Feuil1!$G$58:$I$75,3,0)</f>
        <v>#N/A</v>
      </c>
      <c r="S38" s="184" t="e">
        <f>VLOOKUP('Saisie immeuble'!F35,Feuil1!$Q$57:$U$70,5,0)</f>
        <v>#N/A</v>
      </c>
      <c r="T38" s="184" t="e">
        <f>IF(AND(R38&lt;&gt;"élec",(S38&lt;&gt;"élec"),('Saisie immeuble'!C35&lt;40)),'Référence&amp;tarifs'!$A$6,IF(AND(R38="élec",(S38="élec")),'Référence&amp;tarifs'!$A$8,'Référence&amp;tarifs'!$A$7))</f>
        <v>#N/A</v>
      </c>
      <c r="U38" s="184" t="e">
        <f>VLOOKUP(T38,'Référence&amp;tarifs'!$A$6:$C$10,2,0)</f>
        <v>#N/A</v>
      </c>
      <c r="V38" s="184" t="e">
        <f>VLOOKUP(T38,'Référence&amp;tarifs'!$A$6:$C$10,3,0)</f>
        <v>#N/A</v>
      </c>
      <c r="W38" s="184"/>
      <c r="X38" s="236" t="e">
        <f>IF('Résultat immeuble'!S25&lt;1.1,HLOOKUP(Feuil1!T38,'Référence&amp;tarifs'!#REF!,2,0),IF('Résultat immeuble'!S25&gt;1.9,HLOOKUP(Feuil1!T38,'Référence&amp;tarifs'!#REF!,4,0),HLOOKUP(Feuil1!T38,'Référence&amp;tarifs'!#REF!,3,0)))</f>
        <v>#N/A</v>
      </c>
      <c r="Y38" s="228" t="e">
        <f>IF(R38="gaz",N38,0)+IF(S38="gaz",AT38,0)+IF('Saisie immeuble'!H35="gaz de ville",Feuil1!AH38,0)</f>
        <v>#N/A</v>
      </c>
      <c r="Z38" s="184" t="e">
        <f>IF(Y38&lt;1000,'Référence&amp;tarifs'!$A$16,IF(Y38&gt;5999,'Référence&amp;tarifs'!$A$18,'Référence&amp;tarifs'!$A$17))</f>
        <v>#N/A</v>
      </c>
      <c r="AA38" s="184" t="e">
        <f>VLOOKUP(Z38,'Référence&amp;tarifs'!$A$16:$C$18,2,0)</f>
        <v>#N/A</v>
      </c>
      <c r="AB38" s="184" t="e">
        <f>VLOOKUP(Z38,'Référence&amp;tarifs'!$A$16:$C$18,3,0)</f>
        <v>#N/A</v>
      </c>
      <c r="AC38" s="229" t="e">
        <f>IF('Saisie immeuble'!$C$5="individuel",IF('Résultat immeuble'!S25=1,HLOOKUP(Feuil1!Z38,'Référence&amp;tarifs'!#REF!,2,0),IF('Résultat immeuble'!S25&gt;1.9,HLOOKUP(Feuil1!Z38,'Référence&amp;tarifs'!#REF!,4,0),HLOOKUP(Feuil1!Z38,'Référence&amp;tarifs'!#REF!,3,0))),IF('Saisie immeuble'!$C$5="collectif",IF('Résultat immeuble'!S25=1,'Référence&amp;tarifs'!#REF!,IF('Résultat immeuble'!S25&gt;1.9,'Référence&amp;tarifs'!#REF!,IF(AND('Résultat immeuble'!S25&lt;2,('Résultat immeuble'!S25&gt;1)),'Référence&amp;tarifs'!#REF!,0)))))</f>
        <v>#N/A</v>
      </c>
      <c r="AD38" s="230">
        <f>IF('Saisie immeuble'!I35+'Saisie immeuble'!J35&gt;0,18*'Saisie immeuble'!C35+3.5*('Saisie immeuble'!I35+'Saisie immeuble'!J35-1)*'Saisie immeuble'!C35,0)</f>
        <v>0</v>
      </c>
      <c r="AE38" s="231"/>
      <c r="AF38" s="232"/>
      <c r="AG38" s="233" t="e">
        <f t="shared" si="11"/>
        <v>#N/A</v>
      </c>
      <c r="AH38" s="228">
        <f>IF('Saisie immeuble'!I35+'Saisie immeuble'!J35&gt;0,350+80*('Saisie immeuble'!I35+'Saisie immeuble'!J35-1),0)</f>
        <v>0</v>
      </c>
      <c r="AI38" s="233" t="e">
        <f>IF('Saisie immeuble'!H35="gaz de ville",Feuil1!AB38,IF('Saisie immeuble'!H35=$B$72,V38,0))*Feuil1!AH38+IF(AND(R38&lt;&gt;"gaz",(S38&lt;&gt;"gaz"),('Saisie immeuble'!H35="gaz de ville")),Feuil1!AA38,0)</f>
        <v>#N/A</v>
      </c>
      <c r="AJ38" s="228" t="e">
        <f>VLOOKUP('Saisie immeuble'!E35,Feuil1!$G$58:$I$75,2,0)</f>
        <v>#N/A</v>
      </c>
      <c r="AK38" s="184" t="e">
        <f>VLOOKUP('Saisie immeuble'!E35,Feuil1!$G$58:$I$75,3,0)</f>
        <v>#N/A</v>
      </c>
      <c r="AL38" s="234" t="e">
        <f>IF(AK38="élec",V38,IF(AK38="gaz",AB38,IF(AK38="fioul",'Référence&amp;tarifs'!$B$25,IF(AK38="bois buche",'Référence&amp;tarifs'!$B$23,IF(AK38="bois granulés",'Référence&amp;tarifs'!$B$24,IF(AK38=I82,0.8*('Référence&amp;tarifs'!$B$23+'Référence&amp;tarifs'!B40)/2+0.2*Feuil1!AB38,0))))))</f>
        <v>#N/A</v>
      </c>
      <c r="AM38" s="228">
        <f>IF('Saisie immeuble'!I35+'Saisie immeuble'!J35&gt;0,Feuil1!$AM$13+2*('Saisie immeuble'!I35+'Saisie immeuble'!J35-1),0)</f>
        <v>0</v>
      </c>
      <c r="AN38" s="184">
        <f>IF('Saisie immeuble'!I35+'Saisie immeuble'!J35&gt;0,Feuil1!$AN$13*('Saisie immeuble'!I35+'Saisie immeuble'!J35),0)</f>
        <v>0</v>
      </c>
      <c r="AO38" s="184">
        <f>IF('Saisie immeuble'!I35+'Saisie immeuble'!J35&gt;0,Feuil1!$AO$13+3*('Saisie immeuble'!I35+'Saisie immeuble'!J35-1),0)</f>
        <v>0</v>
      </c>
      <c r="AP38" s="184">
        <f>IF('Saisie immeuble'!I35+'Saisie immeuble'!J35&gt;0,Feuil1!$AP$13+2*('Saisie immeuble'!I35+'Saisie immeuble'!J35-1),0)</f>
        <v>0</v>
      </c>
      <c r="AQ38" s="184">
        <f>IF('Saisie immeuble'!I35+'Saisie immeuble'!J35&gt;0,Feuil1!$AQ$13*('Saisie immeuble'!I35+'Saisie immeuble'!J35),0)</f>
        <v>0</v>
      </c>
      <c r="AR38" s="184">
        <f t="shared" si="8"/>
        <v>0</v>
      </c>
      <c r="AS38" s="224" t="e">
        <f>AR38*'Saisie immeuble'!$F$8+IF(AND(R38&lt;&gt;"gaz",(S38="gaz")),AA38,0)</f>
        <v>#N/A</v>
      </c>
      <c r="AT38" s="228">
        <f>IF('Saisie immeuble'!I35+'Saisie immeuble'!J35&gt;0,1100+700*('Saisie immeuble'!I35+'Saisie immeuble'!J35-1),0)</f>
        <v>0</v>
      </c>
      <c r="AU38" s="235" t="e">
        <f>IF(AW38="élec",Feuil1!V38,IF(AW38="gaz",Feuil1!AB38,IF(AW38="fioul",'Référence&amp;tarifs'!$B$25,IF(AW38="bois",('Référence&amp;tarifs'!$B$23+'Référence&amp;tarifs'!$B$24)/2,0))))</f>
        <v>#N/A</v>
      </c>
      <c r="AV38" s="184" t="e">
        <f>VLOOKUP('Saisie immeuble'!F35,Feuil1!$Q$57:$U$70,4,0)</f>
        <v>#N/A</v>
      </c>
      <c r="AW38" s="184" t="e">
        <f>VLOOKUP('Saisie immeuble'!F35,Feuil1!$Q$57:$U$70,5,0)</f>
        <v>#N/A</v>
      </c>
      <c r="AX38" s="233" t="e">
        <f t="shared" si="12"/>
        <v>#N/A</v>
      </c>
    </row>
    <row r="39" spans="2:50" x14ac:dyDescent="0.25">
      <c r="B39" s="228" t="s">
        <v>408</v>
      </c>
      <c r="C39" s="184">
        <f>IF('Saisie immeuble'!D36=Feuil1!$B$4,4,IF(AND('Saisie immeuble'!D36=$B$5,('Saisie immeuble'!$C$4=Feuil1!$C$5)),5,IF(AND('Saisie immeuble'!D36=$B$5,('Saisie immeuble'!$C$4=Feuil1!$C$6)),6,IF(AND('Saisie immeuble'!D36=Feuil1!$B$7,('Saisie immeuble'!$C$4=Feuil1!$C$7)),7,IF(AND('Saisie immeuble'!D36=Feuil1!$B$7,('Saisie immeuble'!$C$4=Feuil1!$C$8)),8,0)))))</f>
        <v>0</v>
      </c>
      <c r="D39" s="223" t="e">
        <f>HLOOKUP('Saisie immeuble'!$C$3,Feuil1!$D$1:$BM$8,Feuil1!C39,0)</f>
        <v>#VALUE!</v>
      </c>
      <c r="E39" s="184">
        <f>HLOOKUP('Saisie immeuble'!$C$3,Feuil1!$D$1:$BM$8,3,0)</f>
        <v>3</v>
      </c>
      <c r="F39" s="184">
        <f>IF(E39=1,450+'Saisie immeuble'!C36*6,IF(E39=2,300+'Saisie immeuble'!C36*5,150+'Saisie immeuble'!C36*3))</f>
        <v>150</v>
      </c>
      <c r="G39" s="184">
        <f>IF(E39=1,1400+'Saisie immeuble'!C36*6,IF(E39=2,1100+'Saisie immeuble'!C36*6,500+'Saisie immeuble'!C36*6))</f>
        <v>500</v>
      </c>
      <c r="H39" s="223">
        <f>IF('Saisie immeuble'!$C$6="oui",IF('Saisie immeuble'!D36="dernier étage",IF(Feuil1!E39=1,0.4*Feuil1!D39,IF(Feuil1!E39=2,0.35*Feuil1!D39,IF(Feuil1!E39=3,0.3*Feuil1!D39,0))),0),0)</f>
        <v>0</v>
      </c>
      <c r="I39" s="223" t="e">
        <f>IF('Saisie immeuble'!$C$7="oui",IF(AND(Feuil1!E39=1,('Saisie immeuble'!$C$4=Feuil1!$C$5)),0.3*Feuil1!D39,IF(AND(Feuil1!E39=1,('Saisie immeuble'!$C$4=Feuil1!$C$6)),0.2*Feuil1!D39,IF(AND(Feuil1!E39=2,('Saisie immeuble'!$C$4=Feuil1!$C$5)),0.25*Feuil1!D39,IF(AND(Feuil1!E39=2,('Saisie immeuble'!$C$4=Feuil1!$C$6)),0.15*Feuil1!D39,IF(AND(Feuil1!E39=3,('Saisie immeuble'!$C$4=Feuil1!$C$5)),0.2*Feuil1!D39,IF(AND(Feuil1!E39=3,('Saisie immeuble'!$C$4=Feuil1!$C$6)),0.12*Feuil1!D39)))))),0)</f>
        <v>#VALUE!</v>
      </c>
      <c r="J39" s="223" t="e">
        <f>IF('Saisie immeuble'!$C$8="oui",IF(AND(Feuil1!E39=1,('Saisie immeuble'!$C$4=Feuil1!$C$5)),0.22*Feuil1!D39,IF(AND(Feuil1!E39=1,('Saisie immeuble'!$C$4=Feuil1!$C$6)),0.14*Feuil1!D39,IF(AND(Feuil1!E39=2,('Saisie immeuble'!$C$4=Feuil1!$C$5)),0.2*Feuil1!D39,IF(AND(Feuil1!E39=2,('Saisie immeuble'!$C$4=Feuil1!$C$6)),0.12*Feuil1!D39,IF(AND(Feuil1!E39=3,('Saisie immeuble'!$C$4=Feuil1!$C$5)),0.16*Feuil1!D39,IF(AND(Feuil1!E39=3,('Saisie immeuble'!$C$4=Feuil1!$C$6)),0.1*Feuil1!D39)))))),0)</f>
        <v>#VALUE!</v>
      </c>
      <c r="K39" s="223">
        <f>IF('Saisie immeuble'!$F$7="oui",IF('Saisie immeuble'!D36="rez de chaussée",IF(Feuil1!E39=1,0.2*Feuil1!D39,IF(Feuil1!E39=2,0.16*Feuil1!D39,IF(Feuil1!E39=3,0.12*Feuil1!D39,0))),0),0)</f>
        <v>0</v>
      </c>
      <c r="L39" s="184">
        <f>IF('Saisie immeuble'!C36&gt;0,IF('Saisie immeuble'!C36&gt;57,('Saisie immeuble'!C36-57)*55,('Saisie immeuble'!C36-57)*35),0)</f>
        <v>0</v>
      </c>
      <c r="M39" s="184">
        <f>IF('Saisie immeuble'!C36&gt;0,IF('Saisie immeuble'!$H$7=Feuil1!$B$78,IF(Feuil1!E39=1,700,IF(Feuil1!E39=2,550,400)),IF('Saisie immeuble'!$H$7=Feuil1!$B$79,IF(Feuil1!E39=1,350,IF(Feuil1!E39=2,275,200)),0))*(1-((57-'Saisie immeuble'!C36)/100)),0)</f>
        <v>0</v>
      </c>
      <c r="N39" s="223" t="e">
        <f>D39-IF('Saisie immeuble'!G36=Feuil1!$B$68,Feuil1!F39,IF('Saisie immeuble'!G36=Feuil1!$B$69,G39,0))-H39-I39-J39+L39-K39+M39</f>
        <v>#VALUE!</v>
      </c>
      <c r="O39" s="237" t="e">
        <f t="shared" si="9"/>
        <v>#VALUE!</v>
      </c>
      <c r="P39" s="223" t="e">
        <f>IF('Saisie immeuble'!$C$5="individuel",N39/AJ39,O39/AJ39)</f>
        <v>#VALUE!</v>
      </c>
      <c r="Q39" s="224" t="e">
        <f t="shared" si="10"/>
        <v>#VALUE!</v>
      </c>
      <c r="R39" s="228" t="e">
        <f>VLOOKUP('Saisie immeuble'!E36,Feuil1!$G$58:$I$75,3,0)</f>
        <v>#N/A</v>
      </c>
      <c r="S39" s="184" t="e">
        <f>VLOOKUP('Saisie immeuble'!F36,Feuil1!$Q$57:$U$70,5,0)</f>
        <v>#N/A</v>
      </c>
      <c r="T39" s="184" t="e">
        <f>IF(AND(R39&lt;&gt;"élec",(S39&lt;&gt;"élec"),('Saisie immeuble'!C36&lt;40)),'Référence&amp;tarifs'!$A$6,IF(AND(R39="élec",(S39="élec")),'Référence&amp;tarifs'!$A$8,'Référence&amp;tarifs'!$A$7))</f>
        <v>#N/A</v>
      </c>
      <c r="U39" s="184" t="e">
        <f>VLOOKUP(T39,'Référence&amp;tarifs'!$A$6:$C$10,2,0)</f>
        <v>#N/A</v>
      </c>
      <c r="V39" s="184" t="e">
        <f>VLOOKUP(T39,'Référence&amp;tarifs'!$A$6:$C$10,3,0)</f>
        <v>#N/A</v>
      </c>
      <c r="W39" s="184"/>
      <c r="X39" s="236" t="e">
        <f>IF('Résultat immeuble'!#REF!&lt;1.1,HLOOKUP(Feuil1!T39,'Référence&amp;tarifs'!#REF!,2,0),IF('Résultat immeuble'!#REF!&gt;1.9,HLOOKUP(Feuil1!T39,'Référence&amp;tarifs'!#REF!,4,0),HLOOKUP(Feuil1!T39,'Référence&amp;tarifs'!#REF!,3,0)))</f>
        <v>#REF!</v>
      </c>
      <c r="Y39" s="228" t="e">
        <f>IF(R39="gaz",N39,0)+IF(S39="gaz",AT39,0)+IF('Saisie immeuble'!H36="gaz de ville",Feuil1!AH39,0)</f>
        <v>#N/A</v>
      </c>
      <c r="Z39" s="184" t="e">
        <f>IF(Y39&lt;1000,'Référence&amp;tarifs'!$A$16,IF(Y39&gt;5999,'Référence&amp;tarifs'!$A$18,'Référence&amp;tarifs'!$A$17))</f>
        <v>#N/A</v>
      </c>
      <c r="AA39" s="184" t="e">
        <f>VLOOKUP(Z39,'Référence&amp;tarifs'!$A$16:$C$18,2,0)</f>
        <v>#N/A</v>
      </c>
      <c r="AB39" s="184" t="e">
        <f>VLOOKUP(Z39,'Référence&amp;tarifs'!$A$16:$C$18,3,0)</f>
        <v>#N/A</v>
      </c>
      <c r="AC39" s="229" t="e">
        <f>IF('Saisie immeuble'!$C$5="individuel",IF('Résultat immeuble'!#REF!=1,HLOOKUP(Feuil1!Z39,'Référence&amp;tarifs'!#REF!,2,0),IF('Résultat immeuble'!#REF!&gt;1.9,HLOOKUP(Feuil1!Z39,'Référence&amp;tarifs'!#REF!,4,0),HLOOKUP(Feuil1!Z39,'Référence&amp;tarifs'!#REF!,3,0))),IF('Saisie immeuble'!$C$5="collectif",IF('Résultat immeuble'!#REF!=1,'Référence&amp;tarifs'!#REF!,IF('Résultat immeuble'!#REF!&gt;1.9,'Référence&amp;tarifs'!#REF!,IF(AND('Résultat immeuble'!#REF!&lt;2,('Résultat immeuble'!#REF!&gt;1)),'Référence&amp;tarifs'!#REF!,0)))))</f>
        <v>#REF!</v>
      </c>
      <c r="AD39" s="230">
        <f>IF('Saisie immeuble'!I36+'Saisie immeuble'!J36&gt;0,18*'Saisie immeuble'!C36+3.5*('Saisie immeuble'!I36+'Saisie immeuble'!J36-1)*'Saisie immeuble'!C36,0)</f>
        <v>0</v>
      </c>
      <c r="AE39" s="231"/>
      <c r="AF39" s="232"/>
      <c r="AG39" s="233" t="e">
        <f t="shared" si="11"/>
        <v>#N/A</v>
      </c>
      <c r="AH39" s="228">
        <f>IF('Saisie immeuble'!I36+'Saisie immeuble'!J36&gt;0,350+80*('Saisie immeuble'!I36+'Saisie immeuble'!J36-1),0)</f>
        <v>0</v>
      </c>
      <c r="AI39" s="233" t="e">
        <f>IF('Saisie immeuble'!H36="gaz de ville",Feuil1!AB39,IF('Saisie immeuble'!H36=$B$72,V39,0))*Feuil1!AH39+IF(AND(R39&lt;&gt;"gaz",(S39&lt;&gt;"gaz"),('Saisie immeuble'!H36="gaz de ville")),Feuil1!AA39,0)</f>
        <v>#N/A</v>
      </c>
      <c r="AJ39" s="228" t="e">
        <f>VLOOKUP('Saisie immeuble'!E36,Feuil1!$G$58:$I$75,2,0)</f>
        <v>#N/A</v>
      </c>
      <c r="AK39" s="184" t="e">
        <f>VLOOKUP('Saisie immeuble'!E36,Feuil1!$G$58:$I$75,3,0)</f>
        <v>#N/A</v>
      </c>
      <c r="AL39" s="234" t="e">
        <f>IF(AK39="élec",V39,IF(AK39="gaz",AB39,IF(AK39="fioul",'Référence&amp;tarifs'!$B$25,IF(AK39="bois buche",'Référence&amp;tarifs'!$B$23,IF(AK39="bois granulés",'Référence&amp;tarifs'!$B$24,IF(AK39=I83,0.8*('Référence&amp;tarifs'!$B$23+'Référence&amp;tarifs'!B41)/2+0.2*Feuil1!AB39,0))))))</f>
        <v>#N/A</v>
      </c>
      <c r="AM39" s="228">
        <f>IF('Saisie immeuble'!I36+'Saisie immeuble'!J36&gt;0,Feuil1!$AM$13+2*('Saisie immeuble'!I36+'Saisie immeuble'!J36-1),0)</f>
        <v>0</v>
      </c>
      <c r="AN39" s="184">
        <f>IF('Saisie immeuble'!I36+'Saisie immeuble'!J36&gt;0,Feuil1!$AN$13*('Saisie immeuble'!I36+'Saisie immeuble'!J36),0)</f>
        <v>0</v>
      </c>
      <c r="AO39" s="184">
        <f>IF('Saisie immeuble'!I36+'Saisie immeuble'!J36&gt;0,Feuil1!$AO$13+3*('Saisie immeuble'!I36+'Saisie immeuble'!J36-1),0)</f>
        <v>0</v>
      </c>
      <c r="AP39" s="184">
        <f>IF('Saisie immeuble'!I36+'Saisie immeuble'!J36&gt;0,Feuil1!$AP$13+2*('Saisie immeuble'!I36+'Saisie immeuble'!J36-1),0)</f>
        <v>0</v>
      </c>
      <c r="AQ39" s="184">
        <f>IF('Saisie immeuble'!I36+'Saisie immeuble'!J36&gt;0,Feuil1!$AQ$13*('Saisie immeuble'!I36+'Saisie immeuble'!J36),0)</f>
        <v>0</v>
      </c>
      <c r="AR39" s="184">
        <f t="shared" si="8"/>
        <v>0</v>
      </c>
      <c r="AS39" s="224" t="e">
        <f>AR39*'Saisie immeuble'!$F$8+IF(AND(R39&lt;&gt;"gaz",(S39="gaz")),AA39,0)</f>
        <v>#N/A</v>
      </c>
      <c r="AT39" s="228">
        <f>IF('Saisie immeuble'!I36+'Saisie immeuble'!J36&gt;0,1100+700*('Saisie immeuble'!I36+'Saisie immeuble'!J36-1),0)</f>
        <v>0</v>
      </c>
      <c r="AU39" s="235" t="e">
        <f>IF(AW39="élec",Feuil1!V39,IF(AW39="gaz",Feuil1!AB39,IF(AW39="fioul",'Référence&amp;tarifs'!$B$25,IF(AW39="bois",('Référence&amp;tarifs'!$B$23+'Référence&amp;tarifs'!$B$24)/2,0))))</f>
        <v>#N/A</v>
      </c>
      <c r="AV39" s="184" t="e">
        <f>VLOOKUP('Saisie immeuble'!F36,Feuil1!$Q$57:$U$70,4,0)</f>
        <v>#N/A</v>
      </c>
      <c r="AW39" s="184" t="e">
        <f>VLOOKUP('Saisie immeuble'!F36,Feuil1!$Q$57:$U$70,5,0)</f>
        <v>#N/A</v>
      </c>
      <c r="AX39" s="233" t="e">
        <f t="shared" si="12"/>
        <v>#N/A</v>
      </c>
    </row>
    <row r="40" spans="2:50" x14ac:dyDescent="0.25">
      <c r="B40" s="228" t="s">
        <v>409</v>
      </c>
      <c r="C40" s="184">
        <f>IF('Saisie immeuble'!D37=Feuil1!$B$4,4,IF(AND('Saisie immeuble'!D37=$B$5,('Saisie immeuble'!$C$4=Feuil1!$C$5)),5,IF(AND('Saisie immeuble'!D37=$B$5,('Saisie immeuble'!$C$4=Feuil1!$C$6)),6,IF(AND('Saisie immeuble'!D37=Feuil1!$B$7,('Saisie immeuble'!$C$4=Feuil1!$C$7)),7,IF(AND('Saisie immeuble'!D37=Feuil1!$B$7,('Saisie immeuble'!$C$4=Feuil1!$C$8)),8,0)))))</f>
        <v>0</v>
      </c>
      <c r="D40" s="223" t="e">
        <f>HLOOKUP('Saisie immeuble'!$C$3,Feuil1!$D$1:$BM$8,Feuil1!C40,0)</f>
        <v>#VALUE!</v>
      </c>
      <c r="E40" s="184">
        <f>HLOOKUP('Saisie immeuble'!$C$3,Feuil1!$D$1:$BM$8,3,0)</f>
        <v>3</v>
      </c>
      <c r="F40" s="184">
        <f>IF(E40=1,450+'Saisie immeuble'!C37*6,IF(E40=2,300+'Saisie immeuble'!C37*5,150+'Saisie immeuble'!C37*3))</f>
        <v>150</v>
      </c>
      <c r="G40" s="184">
        <f>IF(E40=1,1400+'Saisie immeuble'!C37*6,IF(E40=2,1100+'Saisie immeuble'!C37*6,500+'Saisie immeuble'!C37*6))</f>
        <v>500</v>
      </c>
      <c r="H40" s="223">
        <f>IF('Saisie immeuble'!$C$6="oui",IF('Saisie immeuble'!D37="dernier étage",IF(Feuil1!E40=1,0.4*Feuil1!D40,IF(Feuil1!E40=2,0.35*Feuil1!D40,IF(Feuil1!E40=3,0.3*Feuil1!D40,0))),0),0)</f>
        <v>0</v>
      </c>
      <c r="I40" s="223" t="e">
        <f>IF('Saisie immeuble'!$C$7="oui",IF(AND(Feuil1!E40=1,('Saisie immeuble'!$C$4=Feuil1!$C$5)),0.3*Feuil1!D40,IF(AND(Feuil1!E40=1,('Saisie immeuble'!$C$4=Feuil1!$C$6)),0.2*Feuil1!D40,IF(AND(Feuil1!E40=2,('Saisie immeuble'!$C$4=Feuil1!$C$5)),0.25*Feuil1!D40,IF(AND(Feuil1!E40=2,('Saisie immeuble'!$C$4=Feuil1!$C$6)),0.15*Feuil1!D40,IF(AND(Feuil1!E40=3,('Saisie immeuble'!$C$4=Feuil1!$C$5)),0.2*Feuil1!D40,IF(AND(Feuil1!E40=3,('Saisie immeuble'!$C$4=Feuil1!$C$6)),0.12*Feuil1!D40)))))),0)</f>
        <v>#VALUE!</v>
      </c>
      <c r="J40" s="223" t="e">
        <f>IF('Saisie immeuble'!$C$8="oui",IF(AND(Feuil1!E40=1,('Saisie immeuble'!$C$4=Feuil1!$C$5)),0.22*Feuil1!D40,IF(AND(Feuil1!E40=1,('Saisie immeuble'!$C$4=Feuil1!$C$6)),0.14*Feuil1!D40,IF(AND(Feuil1!E40=2,('Saisie immeuble'!$C$4=Feuil1!$C$5)),0.2*Feuil1!D40,IF(AND(Feuil1!E40=2,('Saisie immeuble'!$C$4=Feuil1!$C$6)),0.12*Feuil1!D40,IF(AND(Feuil1!E40=3,('Saisie immeuble'!$C$4=Feuil1!$C$5)),0.16*Feuil1!D40,IF(AND(Feuil1!E40=3,('Saisie immeuble'!$C$4=Feuil1!$C$6)),0.1*Feuil1!D40)))))),0)</f>
        <v>#VALUE!</v>
      </c>
      <c r="K40" s="223">
        <f>IF('Saisie immeuble'!$F$7="oui",IF('Saisie immeuble'!D37="rez de chaussée",IF(Feuil1!E40=1,0.2*Feuil1!D40,IF(Feuil1!E40=2,0.16*Feuil1!D40,IF(Feuil1!E40=3,0.12*Feuil1!D40,0))),0),0)</f>
        <v>0</v>
      </c>
      <c r="L40" s="184">
        <f>IF('Saisie immeuble'!C37&gt;0,IF('Saisie immeuble'!C37&gt;57,('Saisie immeuble'!C37-57)*55,('Saisie immeuble'!C37-57)*35),0)</f>
        <v>0</v>
      </c>
      <c r="M40" s="184">
        <f>IF('Saisie immeuble'!C37&gt;0,IF('Saisie immeuble'!$H$7=Feuil1!$B$78,IF(Feuil1!E40=1,700,IF(Feuil1!E40=2,550,400)),IF('Saisie immeuble'!$H$7=Feuil1!$B$79,IF(Feuil1!E40=1,350,IF(Feuil1!E40=2,275,200)),0))*(1-((57-'Saisie immeuble'!C37)/100)),0)</f>
        <v>0</v>
      </c>
      <c r="N40" s="223" t="e">
        <f>D40-IF('Saisie immeuble'!G37=Feuil1!$B$68,Feuil1!F40,IF('Saisie immeuble'!G37=Feuil1!$B$69,G40,0))-H40-I40-J40+L40-K40+M40</f>
        <v>#VALUE!</v>
      </c>
      <c r="O40" s="237" t="e">
        <f t="shared" si="9"/>
        <v>#VALUE!</v>
      </c>
      <c r="P40" s="223" t="e">
        <f>IF('Saisie immeuble'!$C$5="individuel",N40/AJ40,O40/AJ40)</f>
        <v>#VALUE!</v>
      </c>
      <c r="Q40" s="224" t="e">
        <f t="shared" si="10"/>
        <v>#VALUE!</v>
      </c>
      <c r="R40" s="228" t="e">
        <f>VLOOKUP('Saisie immeuble'!E37,Feuil1!$G$58:$I$75,3,0)</f>
        <v>#N/A</v>
      </c>
      <c r="S40" s="184" t="e">
        <f>VLOOKUP('Saisie immeuble'!F37,Feuil1!$Q$57:$U$70,5,0)</f>
        <v>#N/A</v>
      </c>
      <c r="T40" s="184" t="e">
        <f>IF(AND(R40&lt;&gt;"élec",(S40&lt;&gt;"élec"),('Saisie immeuble'!C37&lt;40)),'Référence&amp;tarifs'!$A$6,IF(AND(R40="élec",(S40="élec")),'Référence&amp;tarifs'!$A$8,'Référence&amp;tarifs'!$A$7))</f>
        <v>#N/A</v>
      </c>
      <c r="U40" s="184" t="e">
        <f>VLOOKUP(T40,'Référence&amp;tarifs'!$A$6:$C$10,2,0)</f>
        <v>#N/A</v>
      </c>
      <c r="V40" s="184" t="e">
        <f>VLOOKUP(T40,'Référence&amp;tarifs'!$A$6:$C$10,3,0)</f>
        <v>#N/A</v>
      </c>
      <c r="W40" s="184"/>
      <c r="X40" s="236" t="e">
        <f>IF('Résultat immeuble'!S26&lt;1.1,HLOOKUP(Feuil1!T40,'Référence&amp;tarifs'!#REF!,2,0),IF('Résultat immeuble'!S26&gt;1.9,HLOOKUP(Feuil1!T40,'Référence&amp;tarifs'!#REF!,4,0),HLOOKUP(Feuil1!T40,'Référence&amp;tarifs'!#REF!,3,0)))</f>
        <v>#N/A</v>
      </c>
      <c r="Y40" s="228" t="e">
        <f>IF(R40="gaz",N40,0)+IF(S40="gaz",AT40,0)+IF('Saisie immeuble'!H37="gaz de ville",Feuil1!AH40,0)</f>
        <v>#N/A</v>
      </c>
      <c r="Z40" s="184" t="e">
        <f>IF(Y40&lt;1000,'Référence&amp;tarifs'!$A$16,IF(Y40&gt;5999,'Référence&amp;tarifs'!$A$18,'Référence&amp;tarifs'!$A$17))</f>
        <v>#N/A</v>
      </c>
      <c r="AA40" s="184" t="e">
        <f>VLOOKUP(Z40,'Référence&amp;tarifs'!$A$16:$C$18,2,0)</f>
        <v>#N/A</v>
      </c>
      <c r="AB40" s="184" t="e">
        <f>VLOOKUP(Z40,'Référence&amp;tarifs'!$A$16:$C$18,3,0)</f>
        <v>#N/A</v>
      </c>
      <c r="AC40" s="229" t="e">
        <f>IF('Saisie immeuble'!$C$5="individuel",IF('Résultat immeuble'!S26=1,HLOOKUP(Feuil1!Z40,'Référence&amp;tarifs'!#REF!,2,0),IF('Résultat immeuble'!S26&gt;1.9,HLOOKUP(Feuil1!Z40,'Référence&amp;tarifs'!#REF!,4,0),HLOOKUP(Feuil1!Z40,'Référence&amp;tarifs'!#REF!,3,0))),IF('Saisie immeuble'!$C$5="collectif",IF('Résultat immeuble'!S26=1,'Référence&amp;tarifs'!#REF!,IF('Résultat immeuble'!S26&gt;1.9,'Référence&amp;tarifs'!#REF!,IF(AND('Résultat immeuble'!S26&lt;2,('Résultat immeuble'!S26&gt;1)),'Référence&amp;tarifs'!#REF!,0)))))</f>
        <v>#N/A</v>
      </c>
      <c r="AD40" s="230">
        <f>IF('Saisie immeuble'!I37+'Saisie immeuble'!J37&gt;0,18*'Saisie immeuble'!C37+3.5*('Saisie immeuble'!I37+'Saisie immeuble'!J37-1)*'Saisie immeuble'!C37,0)</f>
        <v>0</v>
      </c>
      <c r="AE40" s="231"/>
      <c r="AF40" s="232"/>
      <c r="AG40" s="233" t="e">
        <f t="shared" si="11"/>
        <v>#N/A</v>
      </c>
      <c r="AH40" s="228">
        <f>IF('Saisie immeuble'!I37+'Saisie immeuble'!J37&gt;0,350+80*('Saisie immeuble'!I37+'Saisie immeuble'!J37-1),0)</f>
        <v>0</v>
      </c>
      <c r="AI40" s="233" t="e">
        <f>IF('Saisie immeuble'!H37="gaz de ville",Feuil1!AB40,IF('Saisie immeuble'!H37=$B$72,V40,0))*Feuil1!AH40+IF(AND(R40&lt;&gt;"gaz",(S40&lt;&gt;"gaz"),('Saisie immeuble'!H37="gaz de ville")),Feuil1!AA40,0)</f>
        <v>#N/A</v>
      </c>
      <c r="AJ40" s="228" t="e">
        <f>VLOOKUP('Saisie immeuble'!E37,Feuil1!$G$58:$I$75,2,0)</f>
        <v>#N/A</v>
      </c>
      <c r="AK40" s="184" t="e">
        <f>VLOOKUP('Saisie immeuble'!E37,Feuil1!$G$58:$I$75,3,0)</f>
        <v>#N/A</v>
      </c>
      <c r="AL40" s="234" t="e">
        <f>IF(AK40="élec",V40,IF(AK40="gaz",AB40,IF(AK40="fioul",'Référence&amp;tarifs'!$B$25,IF(AK40="bois buche",'Référence&amp;tarifs'!$B$23,IF(AK40="bois granulés",'Référence&amp;tarifs'!$B$24,IF(AK40=I84,0.8*('Référence&amp;tarifs'!$B$23+'Référence&amp;tarifs'!B42)/2+0.2*Feuil1!AB40,0))))))</f>
        <v>#N/A</v>
      </c>
      <c r="AM40" s="228">
        <f>IF('Saisie immeuble'!I37+'Saisie immeuble'!J37&gt;0,Feuil1!$AM$13+2*('Saisie immeuble'!I37+'Saisie immeuble'!J37-1),0)</f>
        <v>0</v>
      </c>
      <c r="AN40" s="184">
        <f>IF('Saisie immeuble'!I37+'Saisie immeuble'!J37&gt;0,Feuil1!$AN$13*('Saisie immeuble'!I37+'Saisie immeuble'!J37),0)</f>
        <v>0</v>
      </c>
      <c r="AO40" s="184">
        <f>IF('Saisie immeuble'!I37+'Saisie immeuble'!J37&gt;0,Feuil1!$AO$13+3*('Saisie immeuble'!I37+'Saisie immeuble'!J37-1),0)</f>
        <v>0</v>
      </c>
      <c r="AP40" s="184">
        <f>IF('Saisie immeuble'!I37+'Saisie immeuble'!J37&gt;0,Feuil1!$AP$13+2*('Saisie immeuble'!I37+'Saisie immeuble'!J37-1),0)</f>
        <v>0</v>
      </c>
      <c r="AQ40" s="184">
        <f>IF('Saisie immeuble'!I37+'Saisie immeuble'!J37&gt;0,Feuil1!$AQ$13*('Saisie immeuble'!I37+'Saisie immeuble'!J37),0)</f>
        <v>0</v>
      </c>
      <c r="AR40" s="184">
        <f t="shared" si="8"/>
        <v>0</v>
      </c>
      <c r="AS40" s="224" t="e">
        <f>AR40*'Saisie immeuble'!$F$8+IF(AND(R40&lt;&gt;"gaz",(S40="gaz")),AA40,0)</f>
        <v>#N/A</v>
      </c>
      <c r="AT40" s="228">
        <f>IF('Saisie immeuble'!I37+'Saisie immeuble'!J37&gt;0,1100+700*('Saisie immeuble'!I37+'Saisie immeuble'!J37-1),0)</f>
        <v>0</v>
      </c>
      <c r="AU40" s="235" t="e">
        <f>IF(AW40="élec",Feuil1!V40,IF(AW40="gaz",Feuil1!AB40,IF(AW40="fioul",'Référence&amp;tarifs'!$B$25,IF(AW40="bois",('Référence&amp;tarifs'!$B$23+'Référence&amp;tarifs'!$B$24)/2,0))))</f>
        <v>#N/A</v>
      </c>
      <c r="AV40" s="184" t="e">
        <f>VLOOKUP('Saisie immeuble'!F37,Feuil1!$Q$57:$U$70,4,0)</f>
        <v>#N/A</v>
      </c>
      <c r="AW40" s="184" t="e">
        <f>VLOOKUP('Saisie immeuble'!F37,Feuil1!$Q$57:$U$70,5,0)</f>
        <v>#N/A</v>
      </c>
      <c r="AX40" s="233" t="e">
        <f t="shared" si="12"/>
        <v>#N/A</v>
      </c>
    </row>
    <row r="41" spans="2:50" x14ac:dyDescent="0.25">
      <c r="B41" s="228" t="s">
        <v>410</v>
      </c>
      <c r="C41" s="184">
        <f>IF('Saisie immeuble'!D38=Feuil1!$B$4,4,IF(AND('Saisie immeuble'!D38=$B$5,('Saisie immeuble'!$C$4=Feuil1!$C$5)),5,IF(AND('Saisie immeuble'!D38=$B$5,('Saisie immeuble'!$C$4=Feuil1!$C$6)),6,IF(AND('Saisie immeuble'!D38=Feuil1!$B$7,('Saisie immeuble'!$C$4=Feuil1!$C$7)),7,IF(AND('Saisie immeuble'!D38=Feuil1!$B$7,('Saisie immeuble'!$C$4=Feuil1!$C$8)),8,0)))))</f>
        <v>0</v>
      </c>
      <c r="D41" s="223" t="e">
        <f>HLOOKUP('Saisie immeuble'!$C$3,Feuil1!$D$1:$BM$8,Feuil1!C41,0)</f>
        <v>#VALUE!</v>
      </c>
      <c r="E41" s="184">
        <f>HLOOKUP('Saisie immeuble'!$C$3,Feuil1!$D$1:$BM$8,3,0)</f>
        <v>3</v>
      </c>
      <c r="F41" s="184">
        <f>IF(E41=1,450+'Saisie immeuble'!C38*6,IF(E41=2,300+'Saisie immeuble'!C38*5,150+'Saisie immeuble'!C38*3))</f>
        <v>150</v>
      </c>
      <c r="G41" s="184">
        <f>IF(E41=1,1400+'Saisie immeuble'!C38*6,IF(E41=2,1100+'Saisie immeuble'!C38*6,500+'Saisie immeuble'!C38*6))</f>
        <v>500</v>
      </c>
      <c r="H41" s="223">
        <f>IF('Saisie immeuble'!$C$6="oui",IF('Saisie immeuble'!D38="dernier étage",IF(Feuil1!E41=1,0.4*Feuil1!D41,IF(Feuil1!E41=2,0.35*Feuil1!D41,IF(Feuil1!E41=3,0.3*Feuil1!D41,0))),0),0)</f>
        <v>0</v>
      </c>
      <c r="I41" s="223" t="e">
        <f>IF('Saisie immeuble'!$C$7="oui",IF(AND(Feuil1!E41=1,('Saisie immeuble'!$C$4=Feuil1!$C$5)),0.3*Feuil1!D41,IF(AND(Feuil1!E41=1,('Saisie immeuble'!$C$4=Feuil1!$C$6)),0.2*Feuil1!D41,IF(AND(Feuil1!E41=2,('Saisie immeuble'!$C$4=Feuil1!$C$5)),0.25*Feuil1!D41,IF(AND(Feuil1!E41=2,('Saisie immeuble'!$C$4=Feuil1!$C$6)),0.15*Feuil1!D41,IF(AND(Feuil1!E41=3,('Saisie immeuble'!$C$4=Feuil1!$C$5)),0.2*Feuil1!D41,IF(AND(Feuil1!E41=3,('Saisie immeuble'!$C$4=Feuil1!$C$6)),0.12*Feuil1!D41)))))),0)</f>
        <v>#VALUE!</v>
      </c>
      <c r="J41" s="223" t="e">
        <f>IF('Saisie immeuble'!$C$8="oui",IF(AND(Feuil1!E41=1,('Saisie immeuble'!$C$4=Feuil1!$C$5)),0.22*Feuil1!D41,IF(AND(Feuil1!E41=1,('Saisie immeuble'!$C$4=Feuil1!$C$6)),0.14*Feuil1!D41,IF(AND(Feuil1!E41=2,('Saisie immeuble'!$C$4=Feuil1!$C$5)),0.2*Feuil1!D41,IF(AND(Feuil1!E41=2,('Saisie immeuble'!$C$4=Feuil1!$C$6)),0.12*Feuil1!D41,IF(AND(Feuil1!E41=3,('Saisie immeuble'!$C$4=Feuil1!$C$5)),0.16*Feuil1!D41,IF(AND(Feuil1!E41=3,('Saisie immeuble'!$C$4=Feuil1!$C$6)),0.1*Feuil1!D41)))))),0)</f>
        <v>#VALUE!</v>
      </c>
      <c r="K41" s="223">
        <f>IF('Saisie immeuble'!$F$7="oui",IF('Saisie immeuble'!D38="rez de chaussée",IF(Feuil1!E41=1,0.2*Feuil1!D41,IF(Feuil1!E41=2,0.16*Feuil1!D41,IF(Feuil1!E41=3,0.12*Feuil1!D41,0))),0),0)</f>
        <v>0</v>
      </c>
      <c r="L41" s="184">
        <f>IF('Saisie immeuble'!C38&gt;0,IF('Saisie immeuble'!C38&gt;57,('Saisie immeuble'!C38-57)*55,('Saisie immeuble'!C38-57)*35),0)</f>
        <v>0</v>
      </c>
      <c r="M41" s="184">
        <f>IF('Saisie immeuble'!C38&gt;0,IF('Saisie immeuble'!$H$7=Feuil1!$B$78,IF(Feuil1!E41=1,700,IF(Feuil1!E41=2,550,400)),IF('Saisie immeuble'!$H$7=Feuil1!$B$79,IF(Feuil1!E41=1,350,IF(Feuil1!E41=2,275,200)),0))*(1-((57-'Saisie immeuble'!C38)/100)),0)</f>
        <v>0</v>
      </c>
      <c r="N41" s="223" t="e">
        <f>D41-IF('Saisie immeuble'!G38=Feuil1!$B$68,Feuil1!F41,IF('Saisie immeuble'!G38=Feuil1!$B$69,G41,0))-H41-I41-J41+L41-K41+M41</f>
        <v>#VALUE!</v>
      </c>
      <c r="O41" s="237" t="e">
        <f t="shared" si="9"/>
        <v>#VALUE!</v>
      </c>
      <c r="P41" s="223" t="e">
        <f>IF('Saisie immeuble'!$C$5="individuel",N41/AJ41,O41/AJ41)</f>
        <v>#VALUE!</v>
      </c>
      <c r="Q41" s="224" t="e">
        <f t="shared" si="10"/>
        <v>#VALUE!</v>
      </c>
      <c r="R41" s="228" t="e">
        <f>VLOOKUP('Saisie immeuble'!E38,Feuil1!$G$58:$I$75,3,0)</f>
        <v>#N/A</v>
      </c>
      <c r="S41" s="184" t="e">
        <f>VLOOKUP('Saisie immeuble'!F38,Feuil1!$Q$57:$U$70,5,0)</f>
        <v>#N/A</v>
      </c>
      <c r="T41" s="184" t="e">
        <f>IF(AND(R41&lt;&gt;"élec",(S41&lt;&gt;"élec"),('Saisie immeuble'!C38&lt;40)),'Référence&amp;tarifs'!$A$6,IF(AND(R41="élec",(S41="élec")),'Référence&amp;tarifs'!$A$8,'Référence&amp;tarifs'!$A$7))</f>
        <v>#N/A</v>
      </c>
      <c r="U41" s="184" t="e">
        <f>VLOOKUP(T41,'Référence&amp;tarifs'!$A$6:$C$10,2,0)</f>
        <v>#N/A</v>
      </c>
      <c r="V41" s="184" t="e">
        <f>VLOOKUP(T41,'Référence&amp;tarifs'!$A$6:$C$10,3,0)</f>
        <v>#N/A</v>
      </c>
      <c r="W41" s="184"/>
      <c r="X41" s="236" t="e">
        <f>IF('Résultat immeuble'!#REF!&lt;1.1,HLOOKUP(Feuil1!T41,'Référence&amp;tarifs'!#REF!,2,0),IF('Résultat immeuble'!#REF!&gt;1.9,HLOOKUP(Feuil1!T41,'Référence&amp;tarifs'!#REF!,4,0),HLOOKUP(Feuil1!T41,'Référence&amp;tarifs'!#REF!,3,0)))</f>
        <v>#REF!</v>
      </c>
      <c r="Y41" s="228" t="e">
        <f>IF(R41="gaz",N41,0)+IF(S41="gaz",AT41,0)+IF('Saisie immeuble'!H38="gaz de ville",Feuil1!AH41,0)</f>
        <v>#N/A</v>
      </c>
      <c r="Z41" s="184" t="e">
        <f>IF(Y41&lt;1000,'Référence&amp;tarifs'!$A$16,IF(Y41&gt;5999,'Référence&amp;tarifs'!$A$18,'Référence&amp;tarifs'!$A$17))</f>
        <v>#N/A</v>
      </c>
      <c r="AA41" s="184" t="e">
        <f>VLOOKUP(Z41,'Référence&amp;tarifs'!$A$16:$C$18,2,0)</f>
        <v>#N/A</v>
      </c>
      <c r="AB41" s="184" t="e">
        <f>VLOOKUP(Z41,'Référence&amp;tarifs'!$A$16:$C$18,3,0)</f>
        <v>#N/A</v>
      </c>
      <c r="AC41" s="229" t="e">
        <f>IF('Saisie immeuble'!$C$5="individuel",IF('Résultat immeuble'!#REF!=1,HLOOKUP(Feuil1!Z41,'Référence&amp;tarifs'!#REF!,2,0),IF('Résultat immeuble'!#REF!&gt;1.9,HLOOKUP(Feuil1!Z41,'Référence&amp;tarifs'!#REF!,4,0),HLOOKUP(Feuil1!Z41,'Référence&amp;tarifs'!#REF!,3,0))),IF('Saisie immeuble'!$C$5="collectif",IF('Résultat immeuble'!#REF!=1,'Référence&amp;tarifs'!#REF!,IF('Résultat immeuble'!#REF!&gt;1.9,'Référence&amp;tarifs'!#REF!,IF(AND('Résultat immeuble'!#REF!&lt;2,('Résultat immeuble'!#REF!&gt;1)),'Référence&amp;tarifs'!#REF!,0)))))</f>
        <v>#REF!</v>
      </c>
      <c r="AD41" s="230">
        <f>IF('Saisie immeuble'!I38+'Saisie immeuble'!J38&gt;0,18*'Saisie immeuble'!C38+3.5*('Saisie immeuble'!I38+'Saisie immeuble'!J38-1)*'Saisie immeuble'!C38,0)</f>
        <v>0</v>
      </c>
      <c r="AE41" s="231"/>
      <c r="AF41" s="232"/>
      <c r="AG41" s="233" t="e">
        <f t="shared" si="11"/>
        <v>#N/A</v>
      </c>
      <c r="AH41" s="228">
        <f>IF('Saisie immeuble'!I38+'Saisie immeuble'!J38&gt;0,350+80*('Saisie immeuble'!I38+'Saisie immeuble'!J38-1),0)</f>
        <v>0</v>
      </c>
      <c r="AI41" s="233" t="e">
        <f>IF('Saisie immeuble'!H38="gaz de ville",Feuil1!AB41,IF('Saisie immeuble'!H38=$B$72,V41,0))*Feuil1!AH41+IF(AND(R41&lt;&gt;"gaz",(S41&lt;&gt;"gaz"),('Saisie immeuble'!H38="gaz de ville")),Feuil1!AA41,0)</f>
        <v>#N/A</v>
      </c>
      <c r="AJ41" s="228" t="e">
        <f>VLOOKUP('Saisie immeuble'!E38,Feuil1!$G$58:$I$75,2,0)</f>
        <v>#N/A</v>
      </c>
      <c r="AK41" s="184" t="e">
        <f>VLOOKUP('Saisie immeuble'!E38,Feuil1!$G$58:$I$75,3,0)</f>
        <v>#N/A</v>
      </c>
      <c r="AL41" s="234" t="e">
        <f>IF(AK41="élec",V41,IF(AK41="gaz",AB41,IF(AK41="fioul",'Référence&amp;tarifs'!$B$25,IF(AK41="bois buche",'Référence&amp;tarifs'!$B$23,IF(AK41="bois granulés",'Référence&amp;tarifs'!$B$24,IF(AK41=I85,0.8*('Référence&amp;tarifs'!$B$23+'Référence&amp;tarifs'!B43)/2+0.2*Feuil1!AB41,0))))))</f>
        <v>#N/A</v>
      </c>
      <c r="AM41" s="228">
        <f>IF('Saisie immeuble'!I38+'Saisie immeuble'!J38&gt;0,Feuil1!$AM$13+2*('Saisie immeuble'!I38+'Saisie immeuble'!J38-1),0)</f>
        <v>0</v>
      </c>
      <c r="AN41" s="184">
        <f>IF('Saisie immeuble'!I38+'Saisie immeuble'!J38&gt;0,Feuil1!$AN$13*('Saisie immeuble'!I38+'Saisie immeuble'!J38),0)</f>
        <v>0</v>
      </c>
      <c r="AO41" s="184">
        <f>IF('Saisie immeuble'!I38+'Saisie immeuble'!J38&gt;0,Feuil1!$AO$13+3*('Saisie immeuble'!I38+'Saisie immeuble'!J38-1),0)</f>
        <v>0</v>
      </c>
      <c r="AP41" s="184">
        <f>IF('Saisie immeuble'!I38+'Saisie immeuble'!J38&gt;0,Feuil1!$AP$13+2*('Saisie immeuble'!I38+'Saisie immeuble'!J38-1),0)</f>
        <v>0</v>
      </c>
      <c r="AQ41" s="184">
        <f>IF('Saisie immeuble'!I38+'Saisie immeuble'!J38&gt;0,Feuil1!$AQ$13*('Saisie immeuble'!I38+'Saisie immeuble'!J38),0)</f>
        <v>0</v>
      </c>
      <c r="AR41" s="184">
        <f t="shared" si="8"/>
        <v>0</v>
      </c>
      <c r="AS41" s="224" t="e">
        <f>AR41*'Saisie immeuble'!$F$8+IF(AND(R41&lt;&gt;"gaz",(S41="gaz")),AA41,0)</f>
        <v>#N/A</v>
      </c>
      <c r="AT41" s="228">
        <f>IF('Saisie immeuble'!I38+'Saisie immeuble'!J38&gt;0,1100+700*('Saisie immeuble'!I38+'Saisie immeuble'!J38-1),0)</f>
        <v>0</v>
      </c>
      <c r="AU41" s="235" t="e">
        <f>IF(AW41="élec",Feuil1!V41,IF(AW41="gaz",Feuil1!AB41,IF(AW41="fioul",'Référence&amp;tarifs'!$B$25,IF(AW41="bois",('Référence&amp;tarifs'!$B$23+'Référence&amp;tarifs'!$B$24)/2,0))))</f>
        <v>#N/A</v>
      </c>
      <c r="AV41" s="184" t="e">
        <f>VLOOKUP('Saisie immeuble'!F38,Feuil1!$Q$57:$U$70,4,0)</f>
        <v>#N/A</v>
      </c>
      <c r="AW41" s="184" t="e">
        <f>VLOOKUP('Saisie immeuble'!F38,Feuil1!$Q$57:$U$70,5,0)</f>
        <v>#N/A</v>
      </c>
      <c r="AX41" s="233" t="e">
        <f t="shared" si="12"/>
        <v>#N/A</v>
      </c>
    </row>
    <row r="42" spans="2:50" x14ac:dyDescent="0.25">
      <c r="B42" s="228" t="s">
        <v>411</v>
      </c>
      <c r="C42" s="184">
        <f>IF('Saisie immeuble'!D39=Feuil1!$B$4,4,IF(AND('Saisie immeuble'!D39=$B$5,('Saisie immeuble'!$C$4=Feuil1!$C$5)),5,IF(AND('Saisie immeuble'!D39=$B$5,('Saisie immeuble'!$C$4=Feuil1!$C$6)),6,IF(AND('Saisie immeuble'!D39=Feuil1!$B$7,('Saisie immeuble'!$C$4=Feuil1!$C$7)),7,IF(AND('Saisie immeuble'!D39=Feuil1!$B$7,('Saisie immeuble'!$C$4=Feuil1!$C$8)),8,0)))))</f>
        <v>0</v>
      </c>
      <c r="D42" s="223" t="e">
        <f>HLOOKUP('Saisie immeuble'!$C$3,Feuil1!$D$1:$BM$8,Feuil1!C42,0)</f>
        <v>#VALUE!</v>
      </c>
      <c r="E42" s="184">
        <f>HLOOKUP('Saisie immeuble'!$C$3,Feuil1!$D$1:$BM$8,3,0)</f>
        <v>3</v>
      </c>
      <c r="F42" s="184">
        <f>IF(E42=1,450+'Saisie immeuble'!C39*6,IF(E42=2,300+'Saisie immeuble'!C39*5,150+'Saisie immeuble'!C39*3))</f>
        <v>150</v>
      </c>
      <c r="G42" s="184">
        <f>IF(E42=1,1400+'Saisie immeuble'!C39*6,IF(E42=2,1100+'Saisie immeuble'!C39*6,500+'Saisie immeuble'!C39*6))</f>
        <v>500</v>
      </c>
      <c r="H42" s="223">
        <f>IF('Saisie immeuble'!$C$6="oui",IF('Saisie immeuble'!D39="dernier étage",IF(Feuil1!E42=1,0.4*Feuil1!D42,IF(Feuil1!E42=2,0.35*Feuil1!D42,IF(Feuil1!E42=3,0.3*Feuil1!D42,0))),0),0)</f>
        <v>0</v>
      </c>
      <c r="I42" s="223" t="e">
        <f>IF('Saisie immeuble'!$C$7="oui",IF(AND(Feuil1!E42=1,('Saisie immeuble'!$C$4=Feuil1!$C$5)),0.3*Feuil1!D42,IF(AND(Feuil1!E42=1,('Saisie immeuble'!$C$4=Feuil1!$C$6)),0.2*Feuil1!D42,IF(AND(Feuil1!E42=2,('Saisie immeuble'!$C$4=Feuil1!$C$5)),0.25*Feuil1!D42,IF(AND(Feuil1!E42=2,('Saisie immeuble'!$C$4=Feuil1!$C$6)),0.15*Feuil1!D42,IF(AND(Feuil1!E42=3,('Saisie immeuble'!$C$4=Feuil1!$C$5)),0.2*Feuil1!D42,IF(AND(Feuil1!E42=3,('Saisie immeuble'!$C$4=Feuil1!$C$6)),0.12*Feuil1!D42)))))),0)</f>
        <v>#VALUE!</v>
      </c>
      <c r="J42" s="223" t="e">
        <f>IF('Saisie immeuble'!$C$8="oui",IF(AND(Feuil1!E42=1,('Saisie immeuble'!$C$4=Feuil1!$C$5)),0.22*Feuil1!D42,IF(AND(Feuil1!E42=1,('Saisie immeuble'!$C$4=Feuil1!$C$6)),0.14*Feuil1!D42,IF(AND(Feuil1!E42=2,('Saisie immeuble'!$C$4=Feuil1!$C$5)),0.2*Feuil1!D42,IF(AND(Feuil1!E42=2,('Saisie immeuble'!$C$4=Feuil1!$C$6)),0.12*Feuil1!D42,IF(AND(Feuil1!E42=3,('Saisie immeuble'!$C$4=Feuil1!$C$5)),0.16*Feuil1!D42,IF(AND(Feuil1!E42=3,('Saisie immeuble'!$C$4=Feuil1!$C$6)),0.1*Feuil1!D42)))))),0)</f>
        <v>#VALUE!</v>
      </c>
      <c r="K42" s="223">
        <f>IF('Saisie immeuble'!$F$7="oui",IF('Saisie immeuble'!D39="rez de chaussée",IF(Feuil1!E42=1,0.2*Feuil1!D42,IF(Feuil1!E42=2,0.16*Feuil1!D42,IF(Feuil1!E42=3,0.12*Feuil1!D42,0))),0),0)</f>
        <v>0</v>
      </c>
      <c r="L42" s="184">
        <f>IF('Saisie immeuble'!C39&gt;0,IF('Saisie immeuble'!C39&gt;57,('Saisie immeuble'!C39-57)*55,('Saisie immeuble'!C39-57)*35),0)</f>
        <v>0</v>
      </c>
      <c r="M42" s="184">
        <f>IF('Saisie immeuble'!C39&gt;0,IF('Saisie immeuble'!$H$7=Feuil1!$B$78,IF(Feuil1!E42=1,700,IF(Feuil1!E42=2,550,400)),IF('Saisie immeuble'!$H$7=Feuil1!$B$79,IF(Feuil1!E42=1,350,IF(Feuil1!E42=2,275,200)),0))*(1-((57-'Saisie immeuble'!C39)/100)),0)</f>
        <v>0</v>
      </c>
      <c r="N42" s="223" t="e">
        <f>D42-IF('Saisie immeuble'!G39=Feuil1!$B$68,Feuil1!F42,IF('Saisie immeuble'!G39=Feuil1!$B$69,G42,0))-H42-I42-J42+L42-K42+M42</f>
        <v>#VALUE!</v>
      </c>
      <c r="O42" s="237" t="e">
        <f t="shared" si="9"/>
        <v>#VALUE!</v>
      </c>
      <c r="P42" s="223" t="e">
        <f>IF('Saisie immeuble'!$C$5="individuel",N42/AJ42,O42/AJ42)</f>
        <v>#VALUE!</v>
      </c>
      <c r="Q42" s="224" t="e">
        <f t="shared" si="10"/>
        <v>#VALUE!</v>
      </c>
      <c r="R42" s="228" t="e">
        <f>VLOOKUP('Saisie immeuble'!E39,Feuil1!$G$58:$I$75,3,0)</f>
        <v>#N/A</v>
      </c>
      <c r="S42" s="184" t="e">
        <f>VLOOKUP('Saisie immeuble'!F39,Feuil1!$Q$57:$U$70,5,0)</f>
        <v>#N/A</v>
      </c>
      <c r="T42" s="184" t="e">
        <f>IF(AND(R42&lt;&gt;"élec",(S42&lt;&gt;"élec"),('Saisie immeuble'!C39&lt;40)),'Référence&amp;tarifs'!$A$6,IF(AND(R42="élec",(S42="élec")),'Référence&amp;tarifs'!$A$8,'Référence&amp;tarifs'!$A$7))</f>
        <v>#N/A</v>
      </c>
      <c r="U42" s="184" t="e">
        <f>VLOOKUP(T42,'Référence&amp;tarifs'!$A$6:$C$10,2,0)</f>
        <v>#N/A</v>
      </c>
      <c r="V42" s="184" t="e">
        <f>VLOOKUP(T42,'Référence&amp;tarifs'!$A$6:$C$10,3,0)</f>
        <v>#N/A</v>
      </c>
      <c r="W42" s="184"/>
      <c r="X42" s="236" t="e">
        <f>IF('Résultat immeuble'!S27&lt;1.1,HLOOKUP(Feuil1!T42,'Référence&amp;tarifs'!#REF!,2,0),IF('Résultat immeuble'!S27&gt;1.9,HLOOKUP(Feuil1!T42,'Référence&amp;tarifs'!#REF!,4,0),HLOOKUP(Feuil1!T42,'Référence&amp;tarifs'!#REF!,3,0)))</f>
        <v>#N/A</v>
      </c>
      <c r="Y42" s="228" t="e">
        <f>IF(R42="gaz",N42,0)+IF(S42="gaz",AT42,0)+IF('Saisie immeuble'!H39="gaz de ville",Feuil1!AH42,0)</f>
        <v>#N/A</v>
      </c>
      <c r="Z42" s="184" t="e">
        <f>IF(Y42&lt;1000,'Référence&amp;tarifs'!$A$16,IF(Y42&gt;5999,'Référence&amp;tarifs'!$A$18,'Référence&amp;tarifs'!$A$17))</f>
        <v>#N/A</v>
      </c>
      <c r="AA42" s="184" t="e">
        <f>VLOOKUP(Z42,'Référence&amp;tarifs'!$A$16:$C$18,2,0)</f>
        <v>#N/A</v>
      </c>
      <c r="AB42" s="184" t="e">
        <f>VLOOKUP(Z42,'Référence&amp;tarifs'!$A$16:$C$18,3,0)</f>
        <v>#N/A</v>
      </c>
      <c r="AC42" s="229" t="e">
        <f>IF('Saisie immeuble'!$C$5="individuel",IF('Résultat immeuble'!S27=1,HLOOKUP(Feuil1!Z42,'Référence&amp;tarifs'!#REF!,2,0),IF('Résultat immeuble'!S27&gt;1.9,HLOOKUP(Feuil1!Z42,'Référence&amp;tarifs'!#REF!,4,0),HLOOKUP(Feuil1!Z42,'Référence&amp;tarifs'!#REF!,3,0))),IF('Saisie immeuble'!$C$5="collectif",IF('Résultat immeuble'!S27=1,'Référence&amp;tarifs'!#REF!,IF('Résultat immeuble'!S27&gt;1.9,'Référence&amp;tarifs'!#REF!,IF(AND('Résultat immeuble'!S27&lt;2,('Résultat immeuble'!S27&gt;1)),'Référence&amp;tarifs'!#REF!,0)))))</f>
        <v>#N/A</v>
      </c>
      <c r="AD42" s="230">
        <f>IF('Saisie immeuble'!I39+'Saisie immeuble'!J39&gt;0,18*'Saisie immeuble'!C39+3.5*('Saisie immeuble'!I39+'Saisie immeuble'!J39-1)*'Saisie immeuble'!C39,0)</f>
        <v>0</v>
      </c>
      <c r="AE42" s="231"/>
      <c r="AF42" s="232"/>
      <c r="AG42" s="233" t="e">
        <f t="shared" si="11"/>
        <v>#N/A</v>
      </c>
      <c r="AH42" s="228">
        <f>IF('Saisie immeuble'!I39+'Saisie immeuble'!J39&gt;0,350+80*('Saisie immeuble'!I39+'Saisie immeuble'!J39-1),0)</f>
        <v>0</v>
      </c>
      <c r="AI42" s="233" t="e">
        <f>IF('Saisie immeuble'!H39="gaz de ville",Feuil1!AB42,IF('Saisie immeuble'!H39=$B$72,V42,0))*Feuil1!AH42+IF(AND(R42&lt;&gt;"gaz",(S42&lt;&gt;"gaz"),('Saisie immeuble'!H39="gaz de ville")),Feuil1!AA42,0)</f>
        <v>#N/A</v>
      </c>
      <c r="AJ42" s="228" t="e">
        <f>VLOOKUP('Saisie immeuble'!E39,Feuil1!$G$58:$I$75,2,0)</f>
        <v>#N/A</v>
      </c>
      <c r="AK42" s="184" t="e">
        <f>VLOOKUP('Saisie immeuble'!E39,Feuil1!$G$58:$I$75,3,0)</f>
        <v>#N/A</v>
      </c>
      <c r="AL42" s="234" t="e">
        <f>IF(AK42="élec",V42,IF(AK42="gaz",AB42,IF(AK42="fioul",'Référence&amp;tarifs'!$B$25,IF(AK42="bois buche",'Référence&amp;tarifs'!$B$23,IF(AK42="bois granulés",'Référence&amp;tarifs'!$B$24,IF(AK42=I86,0.8*('Référence&amp;tarifs'!$B$23+'Référence&amp;tarifs'!B44)/2+0.2*Feuil1!AB42,0))))))</f>
        <v>#N/A</v>
      </c>
      <c r="AM42" s="228">
        <f>IF('Saisie immeuble'!I39+'Saisie immeuble'!J39&gt;0,Feuil1!$AM$13+2*('Saisie immeuble'!I39+'Saisie immeuble'!J39-1),0)</f>
        <v>0</v>
      </c>
      <c r="AN42" s="184">
        <f>IF('Saisie immeuble'!I39+'Saisie immeuble'!J39&gt;0,Feuil1!$AN$13*('Saisie immeuble'!I39+'Saisie immeuble'!J39),0)</f>
        <v>0</v>
      </c>
      <c r="AO42" s="184">
        <f>IF('Saisie immeuble'!I39+'Saisie immeuble'!J39&gt;0,Feuil1!$AO$13+3*('Saisie immeuble'!I39+'Saisie immeuble'!J39-1),0)</f>
        <v>0</v>
      </c>
      <c r="AP42" s="184">
        <f>IF('Saisie immeuble'!I39+'Saisie immeuble'!J39&gt;0,Feuil1!$AP$13+2*('Saisie immeuble'!I39+'Saisie immeuble'!J39-1),0)</f>
        <v>0</v>
      </c>
      <c r="AQ42" s="184">
        <f>IF('Saisie immeuble'!I39+'Saisie immeuble'!J39&gt;0,Feuil1!$AQ$13*('Saisie immeuble'!I39+'Saisie immeuble'!J39),0)</f>
        <v>0</v>
      </c>
      <c r="AR42" s="184">
        <f t="shared" si="8"/>
        <v>0</v>
      </c>
      <c r="AS42" s="224" t="e">
        <f>AR42*'Saisie immeuble'!$F$8+IF(AND(R42&lt;&gt;"gaz",(S42="gaz")),AA42,0)</f>
        <v>#N/A</v>
      </c>
      <c r="AT42" s="228">
        <f>IF('Saisie immeuble'!I39+'Saisie immeuble'!J39&gt;0,1100+700*('Saisie immeuble'!I39+'Saisie immeuble'!J39-1),0)</f>
        <v>0</v>
      </c>
      <c r="AU42" s="235" t="e">
        <f>IF(AW42="élec",Feuil1!V42,IF(AW42="gaz",Feuil1!AB42,IF(AW42="fioul",'Référence&amp;tarifs'!$B$25,IF(AW42="bois",('Référence&amp;tarifs'!$B$23+'Référence&amp;tarifs'!$B$24)/2,0))))</f>
        <v>#N/A</v>
      </c>
      <c r="AV42" s="184" t="e">
        <f>VLOOKUP('Saisie immeuble'!F39,Feuil1!$Q$57:$U$70,4,0)</f>
        <v>#N/A</v>
      </c>
      <c r="AW42" s="184" t="e">
        <f>VLOOKUP('Saisie immeuble'!F39,Feuil1!$Q$57:$U$70,5,0)</f>
        <v>#N/A</v>
      </c>
      <c r="AX42" s="233" t="e">
        <f t="shared" si="12"/>
        <v>#N/A</v>
      </c>
    </row>
    <row r="43" spans="2:50" x14ac:dyDescent="0.25">
      <c r="B43" s="228" t="s">
        <v>412</v>
      </c>
      <c r="C43" s="184">
        <f>IF('Saisie immeuble'!D40=Feuil1!$B$4,4,IF(AND('Saisie immeuble'!D40=$B$5,('Saisie immeuble'!$C$4=Feuil1!$C$5)),5,IF(AND('Saisie immeuble'!D40=$B$5,('Saisie immeuble'!$C$4=Feuil1!$C$6)),6,IF(AND('Saisie immeuble'!D40=Feuil1!$B$7,('Saisie immeuble'!$C$4=Feuil1!$C$7)),7,IF(AND('Saisie immeuble'!D40=Feuil1!$B$7,('Saisie immeuble'!$C$4=Feuil1!$C$8)),8,0)))))</f>
        <v>0</v>
      </c>
      <c r="D43" s="223" t="e">
        <f>HLOOKUP('Saisie immeuble'!$C$3,Feuil1!$D$1:$BM$8,Feuil1!C43,0)</f>
        <v>#VALUE!</v>
      </c>
      <c r="E43" s="184">
        <f>HLOOKUP('Saisie immeuble'!$C$3,Feuil1!$D$1:$BM$8,3,0)</f>
        <v>3</v>
      </c>
      <c r="F43" s="184">
        <f>IF(E43=1,450+'Saisie immeuble'!C40*6,IF(E43=2,300+'Saisie immeuble'!C40*5,150+'Saisie immeuble'!C40*3))</f>
        <v>150</v>
      </c>
      <c r="G43" s="184">
        <f>IF(E43=1,1400+'Saisie immeuble'!C40*6,IF(E43=2,1100+'Saisie immeuble'!C40*6,500+'Saisie immeuble'!C40*6))</f>
        <v>500</v>
      </c>
      <c r="H43" s="223">
        <f>IF('Saisie immeuble'!$C$6="oui",IF('Saisie immeuble'!D40="dernier étage",IF(Feuil1!E43=1,0.4*Feuil1!D43,IF(Feuil1!E43=2,0.35*Feuil1!D43,IF(Feuil1!E43=3,0.3*Feuil1!D43,0))),0),0)</f>
        <v>0</v>
      </c>
      <c r="I43" s="223" t="e">
        <f>IF('Saisie immeuble'!$C$7="oui",IF(AND(Feuil1!E43=1,('Saisie immeuble'!$C$4=Feuil1!$C$5)),0.3*Feuil1!D43,IF(AND(Feuil1!E43=1,('Saisie immeuble'!$C$4=Feuil1!$C$6)),0.2*Feuil1!D43,IF(AND(Feuil1!E43=2,('Saisie immeuble'!$C$4=Feuil1!$C$5)),0.25*Feuil1!D43,IF(AND(Feuil1!E43=2,('Saisie immeuble'!$C$4=Feuil1!$C$6)),0.15*Feuil1!D43,IF(AND(Feuil1!E43=3,('Saisie immeuble'!$C$4=Feuil1!$C$5)),0.2*Feuil1!D43,IF(AND(Feuil1!E43=3,('Saisie immeuble'!$C$4=Feuil1!$C$6)),0.12*Feuil1!D43)))))),0)</f>
        <v>#VALUE!</v>
      </c>
      <c r="J43" s="223" t="e">
        <f>IF('Saisie immeuble'!$C$8="oui",IF(AND(Feuil1!E43=1,('Saisie immeuble'!$C$4=Feuil1!$C$5)),0.22*Feuil1!D43,IF(AND(Feuil1!E43=1,('Saisie immeuble'!$C$4=Feuil1!$C$6)),0.14*Feuil1!D43,IF(AND(Feuil1!E43=2,('Saisie immeuble'!$C$4=Feuil1!$C$5)),0.2*Feuil1!D43,IF(AND(Feuil1!E43=2,('Saisie immeuble'!$C$4=Feuil1!$C$6)),0.12*Feuil1!D43,IF(AND(Feuil1!E43=3,('Saisie immeuble'!$C$4=Feuil1!$C$5)),0.16*Feuil1!D43,IF(AND(Feuil1!E43=3,('Saisie immeuble'!$C$4=Feuil1!$C$6)),0.1*Feuil1!D43)))))),0)</f>
        <v>#VALUE!</v>
      </c>
      <c r="K43" s="223">
        <f>IF('Saisie immeuble'!$F$7="oui",IF('Saisie immeuble'!D40="rez de chaussée",IF(Feuil1!E43=1,0.2*Feuil1!D43,IF(Feuil1!E43=2,0.16*Feuil1!D43,IF(Feuil1!E43=3,0.12*Feuil1!D43,0))),0),0)</f>
        <v>0</v>
      </c>
      <c r="L43" s="184">
        <f>IF('Saisie immeuble'!C40&gt;0,IF('Saisie immeuble'!C40&gt;57,('Saisie immeuble'!C40-57)*55,('Saisie immeuble'!C40-57)*35),0)</f>
        <v>0</v>
      </c>
      <c r="M43" s="184">
        <f>IF('Saisie immeuble'!C40&gt;0,IF('Saisie immeuble'!$H$7=Feuil1!$B$78,IF(Feuil1!E43=1,700,IF(Feuil1!E43=2,550,400)),IF('Saisie immeuble'!$H$7=Feuil1!$B$79,IF(Feuil1!E43=1,350,IF(Feuil1!E43=2,275,200)),0))*(1-((57-'Saisie immeuble'!C40)/100)),0)</f>
        <v>0</v>
      </c>
      <c r="N43" s="223" t="e">
        <f>D43-IF('Saisie immeuble'!G40=Feuil1!$B$68,Feuil1!F43,IF('Saisie immeuble'!G40=Feuil1!$B$69,G43,0))-H43-I43-J43+L43-K43+M43</f>
        <v>#VALUE!</v>
      </c>
      <c r="O43" s="237" t="e">
        <f t="shared" si="9"/>
        <v>#VALUE!</v>
      </c>
      <c r="P43" s="223" t="e">
        <f>IF('Saisie immeuble'!$C$5="individuel",N43/AJ43,O43/AJ43)</f>
        <v>#VALUE!</v>
      </c>
      <c r="Q43" s="224" t="e">
        <f t="shared" si="10"/>
        <v>#VALUE!</v>
      </c>
      <c r="R43" s="228" t="e">
        <f>VLOOKUP('Saisie immeuble'!E40,Feuil1!$G$58:$I$75,3,0)</f>
        <v>#N/A</v>
      </c>
      <c r="S43" s="184" t="e">
        <f>VLOOKUP('Saisie immeuble'!F40,Feuil1!$Q$57:$U$70,5,0)</f>
        <v>#N/A</v>
      </c>
      <c r="T43" s="184" t="e">
        <f>IF(AND(R43&lt;&gt;"élec",(S43&lt;&gt;"élec"),('Saisie immeuble'!C40&lt;40)),'Référence&amp;tarifs'!$A$6,IF(AND(R43="élec",(S43="élec")),'Référence&amp;tarifs'!$A$8,'Référence&amp;tarifs'!$A$7))</f>
        <v>#N/A</v>
      </c>
      <c r="U43" s="184" t="e">
        <f>VLOOKUP(T43,'Référence&amp;tarifs'!$A$6:$C$10,2,0)</f>
        <v>#N/A</v>
      </c>
      <c r="V43" s="184" t="e">
        <f>VLOOKUP(T43,'Référence&amp;tarifs'!$A$6:$C$10,3,0)</f>
        <v>#N/A</v>
      </c>
      <c r="W43" s="184"/>
      <c r="X43" s="236" t="e">
        <f>IF('Résultat immeuble'!#REF!&lt;1.1,HLOOKUP(Feuil1!T43,'Référence&amp;tarifs'!#REF!,2,0),IF('Résultat immeuble'!#REF!&gt;1.9,HLOOKUP(Feuil1!T43,'Référence&amp;tarifs'!#REF!,4,0),HLOOKUP(Feuil1!T43,'Référence&amp;tarifs'!#REF!,3,0)))</f>
        <v>#REF!</v>
      </c>
      <c r="Y43" s="228" t="e">
        <f>IF(R43="gaz",N43,0)+IF(S43="gaz",AT43,0)+IF('Saisie immeuble'!H40="gaz de ville",Feuil1!AH43,0)</f>
        <v>#N/A</v>
      </c>
      <c r="Z43" s="184" t="e">
        <f>IF(Y43&lt;1000,'Référence&amp;tarifs'!$A$16,IF(Y43&gt;5999,'Référence&amp;tarifs'!$A$18,'Référence&amp;tarifs'!$A$17))</f>
        <v>#N/A</v>
      </c>
      <c r="AA43" s="184" t="e">
        <f>VLOOKUP(Z43,'Référence&amp;tarifs'!$A$16:$C$18,2,0)</f>
        <v>#N/A</v>
      </c>
      <c r="AB43" s="184" t="e">
        <f>VLOOKUP(Z43,'Référence&amp;tarifs'!$A$16:$C$18,3,0)</f>
        <v>#N/A</v>
      </c>
      <c r="AC43" s="229" t="e">
        <f>IF('Saisie immeuble'!$C$5="individuel",IF('Résultat immeuble'!#REF!=1,HLOOKUP(Feuil1!Z43,'Référence&amp;tarifs'!#REF!,2,0),IF('Résultat immeuble'!#REF!&gt;1.9,HLOOKUP(Feuil1!Z43,'Référence&amp;tarifs'!#REF!,4,0),HLOOKUP(Feuil1!Z43,'Référence&amp;tarifs'!#REF!,3,0))),IF('Saisie immeuble'!$C$5="collectif",IF('Résultat immeuble'!#REF!=1,'Référence&amp;tarifs'!#REF!,IF('Résultat immeuble'!#REF!&gt;1.9,'Référence&amp;tarifs'!#REF!,IF(AND('Résultat immeuble'!#REF!&lt;2,('Résultat immeuble'!#REF!&gt;1)),'Référence&amp;tarifs'!#REF!,0)))))</f>
        <v>#REF!</v>
      </c>
      <c r="AD43" s="230">
        <f>IF('Saisie immeuble'!I40+'Saisie immeuble'!J40&gt;0,18*'Saisie immeuble'!C40+3.5*('Saisie immeuble'!I40+'Saisie immeuble'!J40-1)*'Saisie immeuble'!C40,0)</f>
        <v>0</v>
      </c>
      <c r="AE43" s="231"/>
      <c r="AF43" s="232"/>
      <c r="AG43" s="233" t="e">
        <f t="shared" si="11"/>
        <v>#N/A</v>
      </c>
      <c r="AH43" s="228">
        <f>IF('Saisie immeuble'!I40+'Saisie immeuble'!J40&gt;0,350+80*('Saisie immeuble'!I40+'Saisie immeuble'!J40-1),0)</f>
        <v>0</v>
      </c>
      <c r="AI43" s="233" t="e">
        <f>IF('Saisie immeuble'!H40="gaz de ville",Feuil1!AB43,IF('Saisie immeuble'!H40=$B$72,V43,0))*Feuil1!AH43+IF(AND(R43&lt;&gt;"gaz",(S43&lt;&gt;"gaz"),('Saisie immeuble'!H40="gaz de ville")),Feuil1!AA43,0)</f>
        <v>#N/A</v>
      </c>
      <c r="AJ43" s="228" t="e">
        <f>VLOOKUP('Saisie immeuble'!E40,Feuil1!$G$58:$I$75,2,0)</f>
        <v>#N/A</v>
      </c>
      <c r="AK43" s="184" t="e">
        <f>VLOOKUP('Saisie immeuble'!E40,Feuil1!$G$58:$I$75,3,0)</f>
        <v>#N/A</v>
      </c>
      <c r="AL43" s="234" t="e">
        <f>IF(AK43="élec",V43,IF(AK43="gaz",AB43,IF(AK43="fioul",'Référence&amp;tarifs'!$B$25,IF(AK43="bois buche",'Référence&amp;tarifs'!$B$23,IF(AK43="bois granulés",'Référence&amp;tarifs'!$B$24,IF(AK43=I87,0.8*('Référence&amp;tarifs'!$B$23+'Référence&amp;tarifs'!B45)/2+0.2*Feuil1!AB43,0))))))</f>
        <v>#N/A</v>
      </c>
      <c r="AM43" s="228">
        <f>IF('Saisie immeuble'!I40+'Saisie immeuble'!J40&gt;0,Feuil1!$AM$13+2*('Saisie immeuble'!I40+'Saisie immeuble'!J40-1),0)</f>
        <v>0</v>
      </c>
      <c r="AN43" s="184">
        <f>IF('Saisie immeuble'!I40+'Saisie immeuble'!J40&gt;0,Feuil1!$AN$13*('Saisie immeuble'!I40+'Saisie immeuble'!J40),0)</f>
        <v>0</v>
      </c>
      <c r="AO43" s="184">
        <f>IF('Saisie immeuble'!I40+'Saisie immeuble'!J40&gt;0,Feuil1!$AO$13+3*('Saisie immeuble'!I40+'Saisie immeuble'!J40-1),0)</f>
        <v>0</v>
      </c>
      <c r="AP43" s="184">
        <f>IF('Saisie immeuble'!I40+'Saisie immeuble'!J40&gt;0,Feuil1!$AP$13+2*('Saisie immeuble'!I40+'Saisie immeuble'!J40-1),0)</f>
        <v>0</v>
      </c>
      <c r="AQ43" s="184">
        <f>IF('Saisie immeuble'!I40+'Saisie immeuble'!J40&gt;0,Feuil1!$AQ$13*('Saisie immeuble'!I40+'Saisie immeuble'!J40),0)</f>
        <v>0</v>
      </c>
      <c r="AR43" s="184">
        <f t="shared" si="8"/>
        <v>0</v>
      </c>
      <c r="AS43" s="224" t="e">
        <f>AR43*'Saisie immeuble'!$F$8+IF(AND(R43&lt;&gt;"gaz",(S43="gaz")),AA43,0)</f>
        <v>#N/A</v>
      </c>
      <c r="AT43" s="228">
        <f>IF('Saisie immeuble'!I40+'Saisie immeuble'!J40&gt;0,1100+700*('Saisie immeuble'!I40+'Saisie immeuble'!J40-1),0)</f>
        <v>0</v>
      </c>
      <c r="AU43" s="235" t="e">
        <f>IF(AW43="élec",Feuil1!V43,IF(AW43="gaz",Feuil1!AB43,IF(AW43="fioul",'Référence&amp;tarifs'!$B$25,IF(AW43="bois",('Référence&amp;tarifs'!$B$23+'Référence&amp;tarifs'!$B$24)/2,0))))</f>
        <v>#N/A</v>
      </c>
      <c r="AV43" s="184" t="e">
        <f>VLOOKUP('Saisie immeuble'!F40,Feuil1!$Q$57:$U$70,4,0)</f>
        <v>#N/A</v>
      </c>
      <c r="AW43" s="184" t="e">
        <f>VLOOKUP('Saisie immeuble'!F40,Feuil1!$Q$57:$U$70,5,0)</f>
        <v>#N/A</v>
      </c>
      <c r="AX43" s="233" t="e">
        <f t="shared" si="12"/>
        <v>#N/A</v>
      </c>
    </row>
    <row r="44" spans="2:50" x14ac:dyDescent="0.25">
      <c r="B44" s="228" t="s">
        <v>413</v>
      </c>
      <c r="C44" s="184">
        <f>IF('Saisie immeuble'!D41=Feuil1!$B$4,4,IF(AND('Saisie immeuble'!D41=$B$5,('Saisie immeuble'!$C$4=Feuil1!$C$5)),5,IF(AND('Saisie immeuble'!D41=$B$5,('Saisie immeuble'!$C$4=Feuil1!$C$6)),6,IF(AND('Saisie immeuble'!D41=Feuil1!$B$7,('Saisie immeuble'!$C$4=Feuil1!$C$7)),7,IF(AND('Saisie immeuble'!D41=Feuil1!$B$7,('Saisie immeuble'!$C$4=Feuil1!$C$8)),8,0)))))</f>
        <v>0</v>
      </c>
      <c r="D44" s="223" t="e">
        <f>HLOOKUP('Saisie immeuble'!$C$3,Feuil1!$D$1:$BM$8,Feuil1!C44,0)</f>
        <v>#VALUE!</v>
      </c>
      <c r="E44" s="184">
        <f>HLOOKUP('Saisie immeuble'!$C$3,Feuil1!$D$1:$BM$8,3,0)</f>
        <v>3</v>
      </c>
      <c r="F44" s="184">
        <f>IF(E44=1,450+'Saisie immeuble'!C41*6,IF(E44=2,300+'Saisie immeuble'!C41*5,150+'Saisie immeuble'!C41*3))</f>
        <v>150</v>
      </c>
      <c r="G44" s="184">
        <f>IF(E44=1,1400+'Saisie immeuble'!C41*6,IF(E44=2,1100+'Saisie immeuble'!C41*6,500+'Saisie immeuble'!C41*6))</f>
        <v>500</v>
      </c>
      <c r="H44" s="223">
        <f>IF('Saisie immeuble'!$C$6="oui",IF('Saisie immeuble'!D41="dernier étage",IF(Feuil1!E44=1,0.4*Feuil1!D44,IF(Feuil1!E44=2,0.35*Feuil1!D44,IF(Feuil1!E44=3,0.3*Feuil1!D44,0))),0),0)</f>
        <v>0</v>
      </c>
      <c r="I44" s="223" t="e">
        <f>IF('Saisie immeuble'!$C$7="oui",IF(AND(Feuil1!E44=1,('Saisie immeuble'!$C$4=Feuil1!$C$5)),0.3*Feuil1!D44,IF(AND(Feuil1!E44=1,('Saisie immeuble'!$C$4=Feuil1!$C$6)),0.2*Feuil1!D44,IF(AND(Feuil1!E44=2,('Saisie immeuble'!$C$4=Feuil1!$C$5)),0.25*Feuil1!D44,IF(AND(Feuil1!E44=2,('Saisie immeuble'!$C$4=Feuil1!$C$6)),0.15*Feuil1!D44,IF(AND(Feuil1!E44=3,('Saisie immeuble'!$C$4=Feuil1!$C$5)),0.2*Feuil1!D44,IF(AND(Feuil1!E44=3,('Saisie immeuble'!$C$4=Feuil1!$C$6)),0.12*Feuil1!D44)))))),0)</f>
        <v>#VALUE!</v>
      </c>
      <c r="J44" s="223" t="e">
        <f>IF('Saisie immeuble'!$C$8="oui",IF(AND(Feuil1!E44=1,('Saisie immeuble'!$C$4=Feuil1!$C$5)),0.22*Feuil1!D44,IF(AND(Feuil1!E44=1,('Saisie immeuble'!$C$4=Feuil1!$C$6)),0.14*Feuil1!D44,IF(AND(Feuil1!E44=2,('Saisie immeuble'!$C$4=Feuil1!$C$5)),0.2*Feuil1!D44,IF(AND(Feuil1!E44=2,('Saisie immeuble'!$C$4=Feuil1!$C$6)),0.12*Feuil1!D44,IF(AND(Feuil1!E44=3,('Saisie immeuble'!$C$4=Feuil1!$C$5)),0.16*Feuil1!D44,IF(AND(Feuil1!E44=3,('Saisie immeuble'!$C$4=Feuil1!$C$6)),0.1*Feuil1!D44)))))),0)</f>
        <v>#VALUE!</v>
      </c>
      <c r="K44" s="223">
        <f>IF('Saisie immeuble'!$F$7="oui",IF('Saisie immeuble'!D41="rez de chaussée",IF(Feuil1!E44=1,0.2*Feuil1!D44,IF(Feuil1!E44=2,0.16*Feuil1!D44,IF(Feuil1!E44=3,0.12*Feuil1!D44,0))),0),0)</f>
        <v>0</v>
      </c>
      <c r="L44" s="184">
        <f>IF('Saisie immeuble'!C41&gt;0,IF('Saisie immeuble'!C41&gt;57,('Saisie immeuble'!C41-57)*55,('Saisie immeuble'!C41-57)*35),0)</f>
        <v>0</v>
      </c>
      <c r="M44" s="184">
        <f>IF('Saisie immeuble'!C41&gt;0,IF('Saisie immeuble'!$H$7=Feuil1!$B$78,IF(Feuil1!E44=1,700,IF(Feuil1!E44=2,550,400)),IF('Saisie immeuble'!$H$7=Feuil1!$B$79,IF(Feuil1!E44=1,350,IF(Feuil1!E44=2,275,200)),0))*(1-((57-'Saisie immeuble'!C41)/100)),0)</f>
        <v>0</v>
      </c>
      <c r="N44" s="223" t="e">
        <f>D44-IF('Saisie immeuble'!G41=Feuil1!$B$68,Feuil1!F44,IF('Saisie immeuble'!G41=Feuil1!$B$69,G44,0))-H44-I44-J44+L44-K44+M44</f>
        <v>#VALUE!</v>
      </c>
      <c r="O44" s="237" t="e">
        <f t="shared" si="9"/>
        <v>#VALUE!</v>
      </c>
      <c r="P44" s="223" t="e">
        <f>IF('Saisie immeuble'!$C$5="individuel",N44/AJ44,O44/AJ44)</f>
        <v>#VALUE!</v>
      </c>
      <c r="Q44" s="224" t="e">
        <f t="shared" si="10"/>
        <v>#VALUE!</v>
      </c>
      <c r="R44" s="228" t="e">
        <f>VLOOKUP('Saisie immeuble'!E41,Feuil1!$G$58:$I$75,3,0)</f>
        <v>#N/A</v>
      </c>
      <c r="S44" s="184" t="e">
        <f>VLOOKUP('Saisie immeuble'!F41,Feuil1!$Q$57:$U$70,5,0)</f>
        <v>#N/A</v>
      </c>
      <c r="T44" s="184" t="e">
        <f>IF(AND(R44&lt;&gt;"élec",(S44&lt;&gt;"élec"),('Saisie immeuble'!C41&lt;40)),'Référence&amp;tarifs'!$A$6,IF(AND(R44="élec",(S44="élec")),'Référence&amp;tarifs'!$A$8,'Référence&amp;tarifs'!$A$7))</f>
        <v>#N/A</v>
      </c>
      <c r="U44" s="184" t="e">
        <f>VLOOKUP(T44,'Référence&amp;tarifs'!$A$6:$C$10,2,0)</f>
        <v>#N/A</v>
      </c>
      <c r="V44" s="184" t="e">
        <f>VLOOKUP(T44,'Référence&amp;tarifs'!$A$6:$C$10,3,0)</f>
        <v>#N/A</v>
      </c>
      <c r="W44" s="184"/>
      <c r="X44" s="236" t="e">
        <f>IF('Résultat immeuble'!S28&lt;1.1,HLOOKUP(Feuil1!T44,'Référence&amp;tarifs'!#REF!,2,0),IF('Résultat immeuble'!S28&gt;1.9,HLOOKUP(Feuil1!T44,'Référence&amp;tarifs'!#REF!,4,0),HLOOKUP(Feuil1!T44,'Référence&amp;tarifs'!#REF!,3,0)))</f>
        <v>#N/A</v>
      </c>
      <c r="Y44" s="228" t="e">
        <f>IF(R44="gaz",N44,0)+IF(S44="gaz",AT44,0)+IF('Saisie immeuble'!H41="gaz de ville",Feuil1!AH44,0)</f>
        <v>#N/A</v>
      </c>
      <c r="Z44" s="184" t="e">
        <f>IF(Y44&lt;1000,'Référence&amp;tarifs'!$A$16,IF(Y44&gt;5999,'Référence&amp;tarifs'!$A$18,'Référence&amp;tarifs'!$A$17))</f>
        <v>#N/A</v>
      </c>
      <c r="AA44" s="184" t="e">
        <f>VLOOKUP(Z44,'Référence&amp;tarifs'!$A$16:$C$18,2,0)</f>
        <v>#N/A</v>
      </c>
      <c r="AB44" s="184" t="e">
        <f>VLOOKUP(Z44,'Référence&amp;tarifs'!$A$16:$C$18,3,0)</f>
        <v>#N/A</v>
      </c>
      <c r="AC44" s="229" t="e">
        <f>IF('Saisie immeuble'!$C$5="individuel",IF('Résultat immeuble'!S28=1,HLOOKUP(Feuil1!Z44,'Référence&amp;tarifs'!#REF!,2,0),IF('Résultat immeuble'!S28&gt;1.9,HLOOKUP(Feuil1!Z44,'Référence&amp;tarifs'!#REF!,4,0),HLOOKUP(Feuil1!Z44,'Référence&amp;tarifs'!#REF!,3,0))),IF('Saisie immeuble'!$C$5="collectif",IF('Résultat immeuble'!S28=1,'Référence&amp;tarifs'!#REF!,IF('Résultat immeuble'!S28&gt;1.9,'Référence&amp;tarifs'!#REF!,IF(AND('Résultat immeuble'!S28&lt;2,('Résultat immeuble'!S28&gt;1)),'Référence&amp;tarifs'!#REF!,0)))))</f>
        <v>#N/A</v>
      </c>
      <c r="AD44" s="230">
        <f>IF('Saisie immeuble'!I41+'Saisie immeuble'!J41&gt;0,18*'Saisie immeuble'!C41+3.5*('Saisie immeuble'!I41+'Saisie immeuble'!J41-1)*'Saisie immeuble'!C41,0)</f>
        <v>0</v>
      </c>
      <c r="AE44" s="231"/>
      <c r="AF44" s="232"/>
      <c r="AG44" s="233" t="e">
        <f t="shared" si="11"/>
        <v>#N/A</v>
      </c>
      <c r="AH44" s="228">
        <f>IF('Saisie immeuble'!I41+'Saisie immeuble'!J41&gt;0,350+80*('Saisie immeuble'!I41+'Saisie immeuble'!J41-1),0)</f>
        <v>0</v>
      </c>
      <c r="AI44" s="233" t="e">
        <f>IF('Saisie immeuble'!H41="gaz de ville",Feuil1!AB44,IF('Saisie immeuble'!H41=$B$72,V44,0))*Feuil1!AH44+IF(AND(R44&lt;&gt;"gaz",(S44&lt;&gt;"gaz"),('Saisie immeuble'!H41="gaz de ville")),Feuil1!AA44,0)</f>
        <v>#N/A</v>
      </c>
      <c r="AJ44" s="228" t="e">
        <f>VLOOKUP('Saisie immeuble'!E41,Feuil1!$G$58:$I$75,2,0)</f>
        <v>#N/A</v>
      </c>
      <c r="AK44" s="184" t="e">
        <f>VLOOKUP('Saisie immeuble'!E41,Feuil1!$G$58:$I$75,3,0)</f>
        <v>#N/A</v>
      </c>
      <c r="AL44" s="234" t="e">
        <f>IF(AK44="élec",V44,IF(AK44="gaz",AB44,IF(AK44="fioul",'Référence&amp;tarifs'!$B$25,IF(AK44="bois buche",'Référence&amp;tarifs'!$B$23,IF(AK44="bois granulés",'Référence&amp;tarifs'!$B$24,IF(AK44=I88,0.8*('Référence&amp;tarifs'!$B$23+'Référence&amp;tarifs'!B46)/2+0.2*Feuil1!AB44,0))))))</f>
        <v>#N/A</v>
      </c>
      <c r="AM44" s="228">
        <f>IF('Saisie immeuble'!I41+'Saisie immeuble'!J41&gt;0,Feuil1!$AM$13+2*('Saisie immeuble'!I41+'Saisie immeuble'!J41-1),0)</f>
        <v>0</v>
      </c>
      <c r="AN44" s="184">
        <f>IF('Saisie immeuble'!I41+'Saisie immeuble'!J41&gt;0,Feuil1!$AN$13*('Saisie immeuble'!I41+'Saisie immeuble'!J41),0)</f>
        <v>0</v>
      </c>
      <c r="AO44" s="184">
        <f>IF('Saisie immeuble'!I41+'Saisie immeuble'!J41&gt;0,Feuil1!$AO$13+3*('Saisie immeuble'!I41+'Saisie immeuble'!J41-1),0)</f>
        <v>0</v>
      </c>
      <c r="AP44" s="184">
        <f>IF('Saisie immeuble'!I41+'Saisie immeuble'!J41&gt;0,Feuil1!$AP$13+2*('Saisie immeuble'!I41+'Saisie immeuble'!J41-1),0)</f>
        <v>0</v>
      </c>
      <c r="AQ44" s="184">
        <f>IF('Saisie immeuble'!I41+'Saisie immeuble'!J41&gt;0,Feuil1!$AQ$13*('Saisie immeuble'!I41+'Saisie immeuble'!J41),0)</f>
        <v>0</v>
      </c>
      <c r="AR44" s="184">
        <f t="shared" si="8"/>
        <v>0</v>
      </c>
      <c r="AS44" s="224" t="e">
        <f>AR44*'Saisie immeuble'!$F$8+IF(AND(R44&lt;&gt;"gaz",(S44="gaz")),AA44,0)</f>
        <v>#N/A</v>
      </c>
      <c r="AT44" s="228">
        <f>IF('Saisie immeuble'!I41+'Saisie immeuble'!J41&gt;0,1100+700*('Saisie immeuble'!I41+'Saisie immeuble'!J41-1),0)</f>
        <v>0</v>
      </c>
      <c r="AU44" s="235" t="e">
        <f>IF(AW44="élec",Feuil1!V44,IF(AW44="gaz",Feuil1!AB44,IF(AW44="fioul",'Référence&amp;tarifs'!$B$25,IF(AW44="bois",('Référence&amp;tarifs'!$B$23+'Référence&amp;tarifs'!$B$24)/2,0))))</f>
        <v>#N/A</v>
      </c>
      <c r="AV44" s="184" t="e">
        <f>VLOOKUP('Saisie immeuble'!F41,Feuil1!$Q$57:$U$70,4,0)</f>
        <v>#N/A</v>
      </c>
      <c r="AW44" s="184" t="e">
        <f>VLOOKUP('Saisie immeuble'!F41,Feuil1!$Q$57:$U$70,5,0)</f>
        <v>#N/A</v>
      </c>
      <c r="AX44" s="233" t="e">
        <f t="shared" si="12"/>
        <v>#N/A</v>
      </c>
    </row>
    <row r="45" spans="2:50" x14ac:dyDescent="0.25">
      <c r="B45" s="228" t="s">
        <v>414</v>
      </c>
      <c r="C45" s="184">
        <f>IF('Saisie immeuble'!D42=Feuil1!$B$4,4,IF(AND('Saisie immeuble'!D42=$B$5,('Saisie immeuble'!$C$4=Feuil1!$C$5)),5,IF(AND('Saisie immeuble'!D42=$B$5,('Saisie immeuble'!$C$4=Feuil1!$C$6)),6,IF(AND('Saisie immeuble'!D42=Feuil1!$B$7,('Saisie immeuble'!$C$4=Feuil1!$C$7)),7,IF(AND('Saisie immeuble'!D42=Feuil1!$B$7,('Saisie immeuble'!$C$4=Feuil1!$C$8)),8,0)))))</f>
        <v>0</v>
      </c>
      <c r="D45" s="223" t="e">
        <f>HLOOKUP('Saisie immeuble'!$C$3,Feuil1!$D$1:$BM$8,Feuil1!C45,0)</f>
        <v>#VALUE!</v>
      </c>
      <c r="E45" s="184">
        <f>HLOOKUP('Saisie immeuble'!$C$3,Feuil1!$D$1:$BM$8,3,0)</f>
        <v>3</v>
      </c>
      <c r="F45" s="184">
        <f>IF(E45=1,450+'Saisie immeuble'!C42*6,IF(E45=2,300+'Saisie immeuble'!C42*5,150+'Saisie immeuble'!C42*3))</f>
        <v>150</v>
      </c>
      <c r="G45" s="184">
        <f>IF(E45=1,1400+'Saisie immeuble'!C42*6,IF(E45=2,1100+'Saisie immeuble'!C42*6,500+'Saisie immeuble'!C42*6))</f>
        <v>500</v>
      </c>
      <c r="H45" s="223">
        <f>IF('Saisie immeuble'!$C$6="oui",IF('Saisie immeuble'!D42="dernier étage",IF(Feuil1!E45=1,0.4*Feuil1!D45,IF(Feuil1!E45=2,0.35*Feuil1!D45,IF(Feuil1!E45=3,0.3*Feuil1!D45,0))),0),0)</f>
        <v>0</v>
      </c>
      <c r="I45" s="223" t="e">
        <f>IF('Saisie immeuble'!$C$7="oui",IF(AND(Feuil1!E45=1,('Saisie immeuble'!$C$4=Feuil1!$C$5)),0.3*Feuil1!D45,IF(AND(Feuil1!E45=1,('Saisie immeuble'!$C$4=Feuil1!$C$6)),0.2*Feuil1!D45,IF(AND(Feuil1!E45=2,('Saisie immeuble'!$C$4=Feuil1!$C$5)),0.25*Feuil1!D45,IF(AND(Feuil1!E45=2,('Saisie immeuble'!$C$4=Feuil1!$C$6)),0.15*Feuil1!D45,IF(AND(Feuil1!E45=3,('Saisie immeuble'!$C$4=Feuil1!$C$5)),0.2*Feuil1!D45,IF(AND(Feuil1!E45=3,('Saisie immeuble'!$C$4=Feuil1!$C$6)),0.12*Feuil1!D45)))))),0)</f>
        <v>#VALUE!</v>
      </c>
      <c r="J45" s="223" t="e">
        <f>IF('Saisie immeuble'!$C$8="oui",IF(AND(Feuil1!E45=1,('Saisie immeuble'!$C$4=Feuil1!$C$5)),0.22*Feuil1!D45,IF(AND(Feuil1!E45=1,('Saisie immeuble'!$C$4=Feuil1!$C$6)),0.14*Feuil1!D45,IF(AND(Feuil1!E45=2,('Saisie immeuble'!$C$4=Feuil1!$C$5)),0.2*Feuil1!D45,IF(AND(Feuil1!E45=2,('Saisie immeuble'!$C$4=Feuil1!$C$6)),0.12*Feuil1!D45,IF(AND(Feuil1!E45=3,('Saisie immeuble'!$C$4=Feuil1!$C$5)),0.16*Feuil1!D45,IF(AND(Feuil1!E45=3,('Saisie immeuble'!$C$4=Feuil1!$C$6)),0.1*Feuil1!D45)))))),0)</f>
        <v>#VALUE!</v>
      </c>
      <c r="K45" s="223">
        <f>IF('Saisie immeuble'!$F$7="oui",IF('Saisie immeuble'!D42="rez de chaussée",IF(Feuil1!E45=1,0.2*Feuil1!D45,IF(Feuil1!E45=2,0.16*Feuil1!D45,IF(Feuil1!E45=3,0.12*Feuil1!D45,0))),0),0)</f>
        <v>0</v>
      </c>
      <c r="L45" s="184">
        <f>IF('Saisie immeuble'!C42&gt;0,IF('Saisie immeuble'!C42&gt;57,('Saisie immeuble'!C42-57)*55,('Saisie immeuble'!C42-57)*35),0)</f>
        <v>0</v>
      </c>
      <c r="M45" s="184">
        <f>IF('Saisie immeuble'!C42&gt;0,IF('Saisie immeuble'!$H$7=Feuil1!$B$78,IF(Feuil1!E45=1,700,IF(Feuil1!E45=2,550,400)),IF('Saisie immeuble'!$H$7=Feuil1!$B$79,IF(Feuil1!E45=1,350,IF(Feuil1!E45=2,275,200)),0))*(1-((57-'Saisie immeuble'!C42)/100)),0)</f>
        <v>0</v>
      </c>
      <c r="N45" s="223" t="e">
        <f>D45-IF('Saisie immeuble'!G42=Feuil1!$B$68,Feuil1!F45,IF('Saisie immeuble'!G42=Feuil1!$B$69,G45,0))-H45-I45-J45+L45-K45+M45</f>
        <v>#VALUE!</v>
      </c>
      <c r="O45" s="237" t="e">
        <f t="shared" si="9"/>
        <v>#VALUE!</v>
      </c>
      <c r="P45" s="223" t="e">
        <f>IF('Saisie immeuble'!$C$5="individuel",N45/AJ45,O45/AJ45)</f>
        <v>#VALUE!</v>
      </c>
      <c r="Q45" s="224" t="e">
        <f t="shared" si="10"/>
        <v>#VALUE!</v>
      </c>
      <c r="R45" s="228" t="e">
        <f>VLOOKUP('Saisie immeuble'!E42,Feuil1!$G$58:$I$75,3,0)</f>
        <v>#N/A</v>
      </c>
      <c r="S45" s="184" t="e">
        <f>VLOOKUP('Saisie immeuble'!F42,Feuil1!$Q$57:$U$70,5,0)</f>
        <v>#N/A</v>
      </c>
      <c r="T45" s="184" t="e">
        <f>IF(AND(R45&lt;&gt;"élec",(S45&lt;&gt;"élec"),('Saisie immeuble'!C42&lt;40)),'Référence&amp;tarifs'!$A$6,IF(AND(R45="élec",(S45="élec")),'Référence&amp;tarifs'!$A$8,'Référence&amp;tarifs'!$A$7))</f>
        <v>#N/A</v>
      </c>
      <c r="U45" s="184" t="e">
        <f>VLOOKUP(T45,'Référence&amp;tarifs'!$A$6:$C$10,2,0)</f>
        <v>#N/A</v>
      </c>
      <c r="V45" s="184" t="e">
        <f>VLOOKUP(T45,'Référence&amp;tarifs'!$A$6:$C$10,3,0)</f>
        <v>#N/A</v>
      </c>
      <c r="W45" s="184"/>
      <c r="X45" s="236" t="e">
        <f>IF('Résultat immeuble'!#REF!&lt;1.1,HLOOKUP(Feuil1!T45,'Référence&amp;tarifs'!#REF!,2,0),IF('Résultat immeuble'!#REF!&gt;1.9,HLOOKUP(Feuil1!T45,'Référence&amp;tarifs'!#REF!,4,0),HLOOKUP(Feuil1!T45,'Référence&amp;tarifs'!#REF!,3,0)))</f>
        <v>#REF!</v>
      </c>
      <c r="Y45" s="228" t="e">
        <f>IF(R45="gaz",N45,0)+IF(S45="gaz",AT45,0)+IF('Saisie immeuble'!H42="gaz de ville",Feuil1!AH45,0)</f>
        <v>#N/A</v>
      </c>
      <c r="Z45" s="184" t="e">
        <f>IF(Y45&lt;1000,'Référence&amp;tarifs'!$A$16,IF(Y45&gt;5999,'Référence&amp;tarifs'!$A$18,'Référence&amp;tarifs'!$A$17))</f>
        <v>#N/A</v>
      </c>
      <c r="AA45" s="184" t="e">
        <f>VLOOKUP(Z45,'Référence&amp;tarifs'!$A$16:$C$18,2,0)</f>
        <v>#N/A</v>
      </c>
      <c r="AB45" s="184" t="e">
        <f>VLOOKUP(Z45,'Référence&amp;tarifs'!$A$16:$C$18,3,0)</f>
        <v>#N/A</v>
      </c>
      <c r="AC45" s="229" t="e">
        <f>IF('Saisie immeuble'!$C$5="individuel",IF('Résultat immeuble'!#REF!=1,HLOOKUP(Feuil1!Z45,'Référence&amp;tarifs'!#REF!,2,0),IF('Résultat immeuble'!#REF!&gt;1.9,HLOOKUP(Feuil1!Z45,'Référence&amp;tarifs'!#REF!,4,0),HLOOKUP(Feuil1!Z45,'Référence&amp;tarifs'!#REF!,3,0))),IF('Saisie immeuble'!$C$5="collectif",IF('Résultat immeuble'!#REF!=1,'Référence&amp;tarifs'!#REF!,IF('Résultat immeuble'!#REF!&gt;1.9,'Référence&amp;tarifs'!#REF!,IF(AND('Résultat immeuble'!#REF!&lt;2,('Résultat immeuble'!#REF!&gt;1)),'Référence&amp;tarifs'!#REF!,0)))))</f>
        <v>#REF!</v>
      </c>
      <c r="AD45" s="230">
        <f>IF('Saisie immeuble'!I42+'Saisie immeuble'!J42&gt;0,18*'Saisie immeuble'!C42+3.5*('Saisie immeuble'!I42+'Saisie immeuble'!J42-1)*'Saisie immeuble'!C42,0)</f>
        <v>0</v>
      </c>
      <c r="AE45" s="231"/>
      <c r="AF45" s="232"/>
      <c r="AG45" s="233" t="e">
        <f t="shared" si="11"/>
        <v>#N/A</v>
      </c>
      <c r="AH45" s="228">
        <f>IF('Saisie immeuble'!I42+'Saisie immeuble'!J42&gt;0,350+80*('Saisie immeuble'!I42+'Saisie immeuble'!J42-1),0)</f>
        <v>0</v>
      </c>
      <c r="AI45" s="233" t="e">
        <f>IF('Saisie immeuble'!H42="gaz de ville",Feuil1!AB45,IF('Saisie immeuble'!H42=$B$72,V45,0))*Feuil1!AH45+IF(AND(R45&lt;&gt;"gaz",(S45&lt;&gt;"gaz"),('Saisie immeuble'!H42="gaz de ville")),Feuil1!AA45,0)</f>
        <v>#N/A</v>
      </c>
      <c r="AJ45" s="228" t="e">
        <f>VLOOKUP('Saisie immeuble'!E42,Feuil1!$G$58:$I$75,2,0)</f>
        <v>#N/A</v>
      </c>
      <c r="AK45" s="184" t="e">
        <f>VLOOKUP('Saisie immeuble'!E42,Feuil1!$G$58:$I$75,3,0)</f>
        <v>#N/A</v>
      </c>
      <c r="AL45" s="234" t="e">
        <f>IF(AK45="élec",V45,IF(AK45="gaz",AB45,IF(AK45="fioul",'Référence&amp;tarifs'!$B$25,IF(AK45="bois buche",'Référence&amp;tarifs'!$B$23,IF(AK45="bois granulés",'Référence&amp;tarifs'!$B$24,IF(AK45=I89,0.8*('Référence&amp;tarifs'!$B$23+'Référence&amp;tarifs'!B47)/2+0.2*Feuil1!AB45,0))))))</f>
        <v>#N/A</v>
      </c>
      <c r="AM45" s="228">
        <f>IF('Saisie immeuble'!I42+'Saisie immeuble'!J42&gt;0,Feuil1!$AM$13+2*('Saisie immeuble'!I42+'Saisie immeuble'!J42-1),0)</f>
        <v>0</v>
      </c>
      <c r="AN45" s="184">
        <f>IF('Saisie immeuble'!I42+'Saisie immeuble'!J42&gt;0,Feuil1!$AN$13*('Saisie immeuble'!I42+'Saisie immeuble'!J42),0)</f>
        <v>0</v>
      </c>
      <c r="AO45" s="184">
        <f>IF('Saisie immeuble'!I42+'Saisie immeuble'!J42&gt;0,Feuil1!$AO$13+3*('Saisie immeuble'!I42+'Saisie immeuble'!J42-1),0)</f>
        <v>0</v>
      </c>
      <c r="AP45" s="184">
        <f>IF('Saisie immeuble'!I42+'Saisie immeuble'!J42&gt;0,Feuil1!$AP$13+2*('Saisie immeuble'!I42+'Saisie immeuble'!J42-1),0)</f>
        <v>0</v>
      </c>
      <c r="AQ45" s="184">
        <f>IF('Saisie immeuble'!I42+'Saisie immeuble'!J42&gt;0,Feuil1!$AQ$13*('Saisie immeuble'!I42+'Saisie immeuble'!J42),0)</f>
        <v>0</v>
      </c>
      <c r="AR45" s="184">
        <f t="shared" si="8"/>
        <v>0</v>
      </c>
      <c r="AS45" s="224" t="e">
        <f>AR45*'Saisie immeuble'!$F$8+IF(AND(R45&lt;&gt;"gaz",(S45="gaz")),AA45,0)</f>
        <v>#N/A</v>
      </c>
      <c r="AT45" s="228">
        <f>IF('Saisie immeuble'!I42+'Saisie immeuble'!J42&gt;0,1100+700*('Saisie immeuble'!I42+'Saisie immeuble'!J42-1),0)</f>
        <v>0</v>
      </c>
      <c r="AU45" s="235" t="e">
        <f>IF(AW45="élec",Feuil1!V45,IF(AW45="gaz",Feuil1!AB45,IF(AW45="fioul",'Référence&amp;tarifs'!$B$25,IF(AW45="bois",('Référence&amp;tarifs'!$B$23+'Référence&amp;tarifs'!$B$24)/2,0))))</f>
        <v>#N/A</v>
      </c>
      <c r="AV45" s="184" t="e">
        <f>VLOOKUP('Saisie immeuble'!F42,Feuil1!$Q$57:$U$70,4,0)</f>
        <v>#N/A</v>
      </c>
      <c r="AW45" s="184" t="e">
        <f>VLOOKUP('Saisie immeuble'!F42,Feuil1!$Q$57:$U$70,5,0)</f>
        <v>#N/A</v>
      </c>
      <c r="AX45" s="233" t="e">
        <f t="shared" si="12"/>
        <v>#N/A</v>
      </c>
    </row>
    <row r="46" spans="2:50" x14ac:dyDescent="0.25">
      <c r="B46" s="228" t="s">
        <v>415</v>
      </c>
      <c r="C46" s="184">
        <f>IF('Saisie immeuble'!D43=Feuil1!$B$4,4,IF(AND('Saisie immeuble'!D43=$B$5,('Saisie immeuble'!$C$4=Feuil1!$C$5)),5,IF(AND('Saisie immeuble'!D43=$B$5,('Saisie immeuble'!$C$4=Feuil1!$C$6)),6,IF(AND('Saisie immeuble'!D43=Feuil1!$B$7,('Saisie immeuble'!$C$4=Feuil1!$C$7)),7,IF(AND('Saisie immeuble'!D43=Feuil1!$B$7,('Saisie immeuble'!$C$4=Feuil1!$C$8)),8,0)))))</f>
        <v>0</v>
      </c>
      <c r="D46" s="223" t="e">
        <f>HLOOKUP('Saisie immeuble'!$C$3,Feuil1!$D$1:$BM$8,Feuil1!C46,0)</f>
        <v>#VALUE!</v>
      </c>
      <c r="E46" s="184">
        <f>HLOOKUP('Saisie immeuble'!$C$3,Feuil1!$D$1:$BM$8,3,0)</f>
        <v>3</v>
      </c>
      <c r="F46" s="184">
        <f>IF(E46=1,450+'Saisie immeuble'!C43*6,IF(E46=2,300+'Saisie immeuble'!C43*5,150+'Saisie immeuble'!C43*3))</f>
        <v>150</v>
      </c>
      <c r="G46" s="184">
        <f>IF(E46=1,1400+'Saisie immeuble'!C43*6,IF(E46=2,1100+'Saisie immeuble'!C43*6,500+'Saisie immeuble'!C43*6))</f>
        <v>500</v>
      </c>
      <c r="H46" s="223">
        <f>IF('Saisie immeuble'!$C$6="oui",IF('Saisie immeuble'!D43="dernier étage",IF(Feuil1!E46=1,0.4*Feuil1!D46,IF(Feuil1!E46=2,0.35*Feuil1!D46,IF(Feuil1!E46=3,0.3*Feuil1!D46,0))),0),0)</f>
        <v>0</v>
      </c>
      <c r="I46" s="223" t="e">
        <f>IF('Saisie immeuble'!$C$7="oui",IF(AND(Feuil1!E46=1,('Saisie immeuble'!$C$4=Feuil1!$C$5)),0.3*Feuil1!D46,IF(AND(Feuil1!E46=1,('Saisie immeuble'!$C$4=Feuil1!$C$6)),0.2*Feuil1!D46,IF(AND(Feuil1!E46=2,('Saisie immeuble'!$C$4=Feuil1!$C$5)),0.25*Feuil1!D46,IF(AND(Feuil1!E46=2,('Saisie immeuble'!$C$4=Feuil1!$C$6)),0.15*Feuil1!D46,IF(AND(Feuil1!E46=3,('Saisie immeuble'!$C$4=Feuil1!$C$5)),0.2*Feuil1!D46,IF(AND(Feuil1!E46=3,('Saisie immeuble'!$C$4=Feuil1!$C$6)),0.12*Feuil1!D46)))))),0)</f>
        <v>#VALUE!</v>
      </c>
      <c r="J46" s="223" t="e">
        <f>IF('Saisie immeuble'!$C$8="oui",IF(AND(Feuil1!E46=1,('Saisie immeuble'!$C$4=Feuil1!$C$5)),0.22*Feuil1!D46,IF(AND(Feuil1!E46=1,('Saisie immeuble'!$C$4=Feuil1!$C$6)),0.14*Feuil1!D46,IF(AND(Feuil1!E46=2,('Saisie immeuble'!$C$4=Feuil1!$C$5)),0.2*Feuil1!D46,IF(AND(Feuil1!E46=2,('Saisie immeuble'!$C$4=Feuil1!$C$6)),0.12*Feuil1!D46,IF(AND(Feuil1!E46=3,('Saisie immeuble'!$C$4=Feuil1!$C$5)),0.16*Feuil1!D46,IF(AND(Feuil1!E46=3,('Saisie immeuble'!$C$4=Feuil1!$C$6)),0.1*Feuil1!D46)))))),0)</f>
        <v>#VALUE!</v>
      </c>
      <c r="K46" s="223">
        <f>IF('Saisie immeuble'!$F$7="oui",IF('Saisie immeuble'!D43="rez de chaussée",IF(Feuil1!E46=1,0.2*Feuil1!D46,IF(Feuil1!E46=2,0.16*Feuil1!D46,IF(Feuil1!E46=3,0.12*Feuil1!D46,0))),0),0)</f>
        <v>0</v>
      </c>
      <c r="L46" s="184">
        <f>IF('Saisie immeuble'!C43&gt;0,IF('Saisie immeuble'!C43&gt;57,('Saisie immeuble'!C43-57)*55,('Saisie immeuble'!C43-57)*35),0)</f>
        <v>0</v>
      </c>
      <c r="M46" s="184">
        <f>IF('Saisie immeuble'!C43&gt;0,IF('Saisie immeuble'!$H$7=Feuil1!$B$78,IF(Feuil1!E46=1,700,IF(Feuil1!E46=2,550,400)),IF('Saisie immeuble'!$H$7=Feuil1!$B$79,IF(Feuil1!E46=1,350,IF(Feuil1!E46=2,275,200)),0))*(1-((57-'Saisie immeuble'!C43)/100)),0)</f>
        <v>0</v>
      </c>
      <c r="N46" s="223" t="e">
        <f>D46-IF('Saisie immeuble'!G43=Feuil1!$B$68,Feuil1!F46,IF('Saisie immeuble'!G43=Feuil1!$B$69,G46,0))-H46-I46-J46+L46-K46+M46</f>
        <v>#VALUE!</v>
      </c>
      <c r="O46" s="237" t="e">
        <f t="shared" si="9"/>
        <v>#VALUE!</v>
      </c>
      <c r="P46" s="223" t="e">
        <f>IF('Saisie immeuble'!$C$5="individuel",N46/AJ46,O46/AJ46)</f>
        <v>#VALUE!</v>
      </c>
      <c r="Q46" s="224" t="e">
        <f t="shared" si="10"/>
        <v>#VALUE!</v>
      </c>
      <c r="R46" s="228" t="e">
        <f>VLOOKUP('Saisie immeuble'!E43,Feuil1!$G$58:$I$75,3,0)</f>
        <v>#N/A</v>
      </c>
      <c r="S46" s="184" t="e">
        <f>VLOOKUP('Saisie immeuble'!F43,Feuil1!$Q$57:$U$70,5,0)</f>
        <v>#N/A</v>
      </c>
      <c r="T46" s="184" t="e">
        <f>IF(AND(R46&lt;&gt;"élec",(S46&lt;&gt;"élec"),('Saisie immeuble'!C43&lt;40)),'Référence&amp;tarifs'!$A$6,IF(AND(R46="élec",(S46="élec")),'Référence&amp;tarifs'!$A$8,'Référence&amp;tarifs'!$A$7))</f>
        <v>#N/A</v>
      </c>
      <c r="U46" s="184" t="e">
        <f>VLOOKUP(T46,'Référence&amp;tarifs'!$A$6:$C$10,2,0)</f>
        <v>#N/A</v>
      </c>
      <c r="V46" s="184" t="e">
        <f>VLOOKUP(T46,'Référence&amp;tarifs'!$A$6:$C$10,3,0)</f>
        <v>#N/A</v>
      </c>
      <c r="W46" s="184"/>
      <c r="X46" s="236" t="e">
        <f>IF('Résultat immeuble'!T31&lt;1.1,HLOOKUP(Feuil1!T46,'Référence&amp;tarifs'!#REF!,2,0),IF('Résultat immeuble'!T31&gt;1.9,HLOOKUP(Feuil1!T46,'Référence&amp;tarifs'!#REF!,4,0),HLOOKUP(Feuil1!T46,'Référence&amp;tarifs'!#REF!,3,0)))</f>
        <v>#N/A</v>
      </c>
      <c r="Y46" s="228" t="e">
        <f>IF(R46="gaz",N46,0)+IF(S46="gaz",AT46,0)+IF('Saisie immeuble'!H43="gaz de ville",Feuil1!AH46,0)</f>
        <v>#N/A</v>
      </c>
      <c r="Z46" s="184" t="e">
        <f>IF(Y46&lt;1000,'Référence&amp;tarifs'!$A$16,IF(Y46&gt;5999,'Référence&amp;tarifs'!$A$18,'Référence&amp;tarifs'!$A$17))</f>
        <v>#N/A</v>
      </c>
      <c r="AA46" s="184" t="e">
        <f>VLOOKUP(Z46,'Référence&amp;tarifs'!$A$16:$C$18,2,0)</f>
        <v>#N/A</v>
      </c>
      <c r="AB46" s="184" t="e">
        <f>VLOOKUP(Z46,'Référence&amp;tarifs'!$A$16:$C$18,3,0)</f>
        <v>#N/A</v>
      </c>
      <c r="AC46" s="229" t="e">
        <f>IF('Saisie immeuble'!$C$5="individuel",IF('Résultat immeuble'!T31=1,HLOOKUP(Feuil1!Z46,'Référence&amp;tarifs'!#REF!,2,0),IF('Résultat immeuble'!T31&gt;1.9,HLOOKUP(Feuil1!Z46,'Référence&amp;tarifs'!#REF!,4,0),HLOOKUP(Feuil1!Z46,'Référence&amp;tarifs'!#REF!,3,0))),IF('Saisie immeuble'!$C$5="collectif",IF('Résultat immeuble'!T31=1,'Référence&amp;tarifs'!#REF!,IF('Résultat immeuble'!T31&gt;1.9,'Référence&amp;tarifs'!#REF!,IF(AND('Résultat immeuble'!T31&lt;2,('Résultat immeuble'!T31&gt;1)),'Référence&amp;tarifs'!#REF!,0)))))</f>
        <v>#N/A</v>
      </c>
      <c r="AD46" s="230">
        <f>IF('Saisie immeuble'!I43+'Saisie immeuble'!J43&gt;0,18*'Saisie immeuble'!C43+3.5*('Saisie immeuble'!I43+'Saisie immeuble'!J43-1)*'Saisie immeuble'!C43,0)</f>
        <v>0</v>
      </c>
      <c r="AE46" s="231"/>
      <c r="AF46" s="232"/>
      <c r="AG46" s="233" t="e">
        <f t="shared" si="11"/>
        <v>#N/A</v>
      </c>
      <c r="AH46" s="228">
        <f>IF('Saisie immeuble'!I43+'Saisie immeuble'!J43&gt;0,350+80*('Saisie immeuble'!I43+'Saisie immeuble'!J43-1),0)</f>
        <v>0</v>
      </c>
      <c r="AI46" s="233" t="e">
        <f>IF('Saisie immeuble'!H43="gaz de ville",Feuil1!AB46,IF('Saisie immeuble'!H43=$B$72,V46,0))*Feuil1!AH46+IF(AND(R46&lt;&gt;"gaz",(S46&lt;&gt;"gaz"),('Saisie immeuble'!H43="gaz de ville")),Feuil1!AA46,0)</f>
        <v>#N/A</v>
      </c>
      <c r="AJ46" s="228" t="e">
        <f>VLOOKUP('Saisie immeuble'!E43,Feuil1!$G$58:$I$75,2,0)</f>
        <v>#N/A</v>
      </c>
      <c r="AK46" s="184" t="e">
        <f>VLOOKUP('Saisie immeuble'!E43,Feuil1!$G$58:$I$75,3,0)</f>
        <v>#N/A</v>
      </c>
      <c r="AL46" s="234" t="e">
        <f>IF(AK46="élec",V46,IF(AK46="gaz",AB46,IF(AK46="fioul",'Référence&amp;tarifs'!$B$25,IF(AK46="bois buche",'Référence&amp;tarifs'!$B$23,IF(AK46="bois granulés",'Référence&amp;tarifs'!$B$24,IF(AK46=I90,0.8*('Référence&amp;tarifs'!$B$23+'Référence&amp;tarifs'!B48)/2+0.2*Feuil1!AB46,0))))))</f>
        <v>#N/A</v>
      </c>
      <c r="AM46" s="228">
        <f>IF('Saisie immeuble'!I43+'Saisie immeuble'!J43&gt;0,Feuil1!$AM$13+2*('Saisie immeuble'!I43+'Saisie immeuble'!J43-1),0)</f>
        <v>0</v>
      </c>
      <c r="AN46" s="184">
        <f>IF('Saisie immeuble'!I43+'Saisie immeuble'!J43&gt;0,Feuil1!$AN$13*('Saisie immeuble'!I43+'Saisie immeuble'!J43),0)</f>
        <v>0</v>
      </c>
      <c r="AO46" s="184">
        <f>IF('Saisie immeuble'!I43+'Saisie immeuble'!J43&gt;0,Feuil1!$AO$13+3*('Saisie immeuble'!I43+'Saisie immeuble'!J43-1),0)</f>
        <v>0</v>
      </c>
      <c r="AP46" s="184">
        <f>IF('Saisie immeuble'!I43+'Saisie immeuble'!J43&gt;0,Feuil1!$AP$13+2*('Saisie immeuble'!I43+'Saisie immeuble'!J43-1),0)</f>
        <v>0</v>
      </c>
      <c r="AQ46" s="184">
        <f>IF('Saisie immeuble'!I43+'Saisie immeuble'!J43&gt;0,Feuil1!$AQ$13*('Saisie immeuble'!I43+'Saisie immeuble'!J43),0)</f>
        <v>0</v>
      </c>
      <c r="AR46" s="184">
        <f t="shared" si="8"/>
        <v>0</v>
      </c>
      <c r="AS46" s="224" t="e">
        <f>AR46*'Saisie immeuble'!$F$8+IF(AND(R46&lt;&gt;"gaz",(S46="gaz")),AA46,0)</f>
        <v>#N/A</v>
      </c>
      <c r="AT46" s="228">
        <f>IF('Saisie immeuble'!I43+'Saisie immeuble'!J43&gt;0,1100+700*('Saisie immeuble'!I43+'Saisie immeuble'!J43-1),0)</f>
        <v>0</v>
      </c>
      <c r="AU46" s="235" t="e">
        <f>IF(AW46="élec",Feuil1!V46,IF(AW46="gaz",Feuil1!AB46,IF(AW46="fioul",'Référence&amp;tarifs'!$B$25,IF(AW46="bois",('Référence&amp;tarifs'!$B$23+'Référence&amp;tarifs'!$B$24)/2,0))))</f>
        <v>#N/A</v>
      </c>
      <c r="AV46" s="184" t="e">
        <f>VLOOKUP('Saisie immeuble'!F43,Feuil1!$Q$57:$U$70,4,0)</f>
        <v>#N/A</v>
      </c>
      <c r="AW46" s="184" t="e">
        <f>VLOOKUP('Saisie immeuble'!F43,Feuil1!$Q$57:$U$70,5,0)</f>
        <v>#N/A</v>
      </c>
      <c r="AX46" s="233" t="e">
        <f t="shared" si="12"/>
        <v>#N/A</v>
      </c>
    </row>
    <row r="47" spans="2:50" x14ac:dyDescent="0.25">
      <c r="B47" s="228" t="s">
        <v>416</v>
      </c>
      <c r="C47" s="184">
        <f>IF('Saisie immeuble'!D44=Feuil1!$B$4,4,IF(AND('Saisie immeuble'!D44=$B$5,('Saisie immeuble'!$C$4=Feuil1!$C$5)),5,IF(AND('Saisie immeuble'!D44=$B$5,('Saisie immeuble'!$C$4=Feuil1!$C$6)),6,IF(AND('Saisie immeuble'!D44=Feuil1!$B$7,('Saisie immeuble'!$C$4=Feuil1!$C$7)),7,IF(AND('Saisie immeuble'!D44=Feuil1!$B$7,('Saisie immeuble'!$C$4=Feuil1!$C$8)),8,0)))))</f>
        <v>0</v>
      </c>
      <c r="D47" s="223" t="e">
        <f>HLOOKUP('Saisie immeuble'!$C$3,Feuil1!$D$1:$BM$8,Feuil1!C47,0)</f>
        <v>#VALUE!</v>
      </c>
      <c r="E47" s="184">
        <f>HLOOKUP('Saisie immeuble'!$C$3,Feuil1!$D$1:$BM$8,3,0)</f>
        <v>3</v>
      </c>
      <c r="F47" s="184">
        <f>IF(E47=1,450+'Saisie immeuble'!C44*6,IF(E47=2,300+'Saisie immeuble'!C44*5,150+'Saisie immeuble'!C44*3))</f>
        <v>150</v>
      </c>
      <c r="G47" s="184">
        <f>IF(E47=1,1400+'Saisie immeuble'!C44*6,IF(E47=2,1100+'Saisie immeuble'!C44*6,500+'Saisie immeuble'!C44*6))</f>
        <v>500</v>
      </c>
      <c r="H47" s="223">
        <f>IF('Saisie immeuble'!$C$6="oui",IF('Saisie immeuble'!D44="dernier étage",IF(Feuil1!E47=1,0.4*Feuil1!D47,IF(Feuil1!E47=2,0.35*Feuil1!D47,IF(Feuil1!E47=3,0.3*Feuil1!D47,0))),0),0)</f>
        <v>0</v>
      </c>
      <c r="I47" s="223" t="e">
        <f>IF('Saisie immeuble'!$C$7="oui",IF(AND(Feuil1!E47=1,('Saisie immeuble'!$C$4=Feuil1!$C$5)),0.3*Feuil1!D47,IF(AND(Feuil1!E47=1,('Saisie immeuble'!$C$4=Feuil1!$C$6)),0.2*Feuil1!D47,IF(AND(Feuil1!E47=2,('Saisie immeuble'!$C$4=Feuil1!$C$5)),0.25*Feuil1!D47,IF(AND(Feuil1!E47=2,('Saisie immeuble'!$C$4=Feuil1!$C$6)),0.15*Feuil1!D47,IF(AND(Feuil1!E47=3,('Saisie immeuble'!$C$4=Feuil1!$C$5)),0.2*Feuil1!D47,IF(AND(Feuil1!E47=3,('Saisie immeuble'!$C$4=Feuil1!$C$6)),0.12*Feuil1!D47)))))),0)</f>
        <v>#VALUE!</v>
      </c>
      <c r="J47" s="223" t="e">
        <f>IF('Saisie immeuble'!$C$8="oui",IF(AND(Feuil1!E47=1,('Saisie immeuble'!$C$4=Feuil1!$C$5)),0.22*Feuil1!D47,IF(AND(Feuil1!E47=1,('Saisie immeuble'!$C$4=Feuil1!$C$6)),0.14*Feuil1!D47,IF(AND(Feuil1!E47=2,('Saisie immeuble'!$C$4=Feuil1!$C$5)),0.2*Feuil1!D47,IF(AND(Feuil1!E47=2,('Saisie immeuble'!$C$4=Feuil1!$C$6)),0.12*Feuil1!D47,IF(AND(Feuil1!E47=3,('Saisie immeuble'!$C$4=Feuil1!$C$5)),0.16*Feuil1!D47,IF(AND(Feuil1!E47=3,('Saisie immeuble'!$C$4=Feuil1!$C$6)),0.1*Feuil1!D47)))))),0)</f>
        <v>#VALUE!</v>
      </c>
      <c r="K47" s="223">
        <f>IF('Saisie immeuble'!$F$7="oui",IF('Saisie immeuble'!D44="rez de chaussée",IF(Feuil1!E47=1,0.2*Feuil1!D47,IF(Feuil1!E47=2,0.16*Feuil1!D47,IF(Feuil1!E47=3,0.12*Feuil1!D47,0))),0),0)</f>
        <v>0</v>
      </c>
      <c r="L47" s="184">
        <f>IF('Saisie immeuble'!C44&gt;0,IF('Saisie immeuble'!C44&gt;57,('Saisie immeuble'!C44-57)*55,('Saisie immeuble'!C44-57)*35),0)</f>
        <v>0</v>
      </c>
      <c r="M47" s="184">
        <f>IF('Saisie immeuble'!C44&gt;0,IF('Saisie immeuble'!$H$7=Feuil1!$B$78,IF(Feuil1!E47=1,700,IF(Feuil1!E47=2,550,400)),IF('Saisie immeuble'!$H$7=Feuil1!$B$79,IF(Feuil1!E47=1,350,IF(Feuil1!E47=2,275,200)),0))*(1-((57-'Saisie immeuble'!C44)/100)),0)</f>
        <v>0</v>
      </c>
      <c r="N47" s="223" t="e">
        <f>D47-IF('Saisie immeuble'!G44=Feuil1!$B$68,Feuil1!F47,IF('Saisie immeuble'!G44=Feuil1!$B$69,G47,0))-H47-I47-J47+L47-K47+M47</f>
        <v>#VALUE!</v>
      </c>
      <c r="O47" s="237" t="e">
        <f t="shared" si="9"/>
        <v>#VALUE!</v>
      </c>
      <c r="P47" s="223" t="e">
        <f>IF('Saisie immeuble'!$C$5="individuel",N47/AJ47,O47/AJ47)</f>
        <v>#VALUE!</v>
      </c>
      <c r="Q47" s="224" t="e">
        <f t="shared" si="10"/>
        <v>#VALUE!</v>
      </c>
      <c r="R47" s="228" t="e">
        <f>VLOOKUP('Saisie immeuble'!E44,Feuil1!$G$58:$I$75,3,0)</f>
        <v>#N/A</v>
      </c>
      <c r="S47" s="184" t="e">
        <f>VLOOKUP('Saisie immeuble'!F44,Feuil1!$Q$57:$U$70,5,0)</f>
        <v>#N/A</v>
      </c>
      <c r="T47" s="184" t="e">
        <f>IF(AND(R47&lt;&gt;"élec",(S47&lt;&gt;"élec"),('Saisie immeuble'!C44&lt;40)),'Référence&amp;tarifs'!$A$6,IF(AND(R47="élec",(S47="élec")),'Référence&amp;tarifs'!$A$8,'Référence&amp;tarifs'!$A$7))</f>
        <v>#N/A</v>
      </c>
      <c r="U47" s="184" t="e">
        <f>VLOOKUP(T47,'Référence&amp;tarifs'!$A$6:$C$10,2,0)</f>
        <v>#N/A</v>
      </c>
      <c r="V47" s="184" t="e">
        <f>VLOOKUP(T47,'Référence&amp;tarifs'!$A$6:$C$10,3,0)</f>
        <v>#N/A</v>
      </c>
      <c r="W47" s="184"/>
      <c r="X47" s="236" t="e">
        <f>IF('Résultat immeuble'!#REF!&lt;1.1,HLOOKUP(Feuil1!T47,'Référence&amp;tarifs'!#REF!,2,0),IF('Résultat immeuble'!#REF!&gt;1.9,HLOOKUP(Feuil1!T47,'Référence&amp;tarifs'!#REF!,4,0),HLOOKUP(Feuil1!T47,'Référence&amp;tarifs'!#REF!,3,0)))</f>
        <v>#REF!</v>
      </c>
      <c r="Y47" s="228" t="e">
        <f>IF(R47="gaz",N47,0)+IF(S47="gaz",AT47,0)+IF('Saisie immeuble'!H44="gaz de ville",Feuil1!AH47,0)</f>
        <v>#N/A</v>
      </c>
      <c r="Z47" s="184" t="e">
        <f>IF(Y47&lt;1000,'Référence&amp;tarifs'!$A$16,IF(Y47&gt;5999,'Référence&amp;tarifs'!$A$18,'Référence&amp;tarifs'!$A$17))</f>
        <v>#N/A</v>
      </c>
      <c r="AA47" s="184" t="e">
        <f>VLOOKUP(Z47,'Référence&amp;tarifs'!$A$16:$C$18,2,0)</f>
        <v>#N/A</v>
      </c>
      <c r="AB47" s="184" t="e">
        <f>VLOOKUP(Z47,'Référence&amp;tarifs'!$A$16:$C$18,3,0)</f>
        <v>#N/A</v>
      </c>
      <c r="AC47" s="229" t="e">
        <f>IF('Saisie immeuble'!$C$5="individuel",IF('Résultat immeuble'!#REF!=1,HLOOKUP(Feuil1!Z47,'Référence&amp;tarifs'!#REF!,2,0),IF('Résultat immeuble'!#REF!&gt;1.9,HLOOKUP(Feuil1!Z47,'Référence&amp;tarifs'!#REF!,4,0),HLOOKUP(Feuil1!Z47,'Référence&amp;tarifs'!#REF!,3,0))),IF('Saisie immeuble'!$C$5="collectif",IF('Résultat immeuble'!#REF!=1,'Référence&amp;tarifs'!#REF!,IF('Résultat immeuble'!#REF!&gt;1.9,'Référence&amp;tarifs'!#REF!,IF(AND('Résultat immeuble'!#REF!&lt;2,('Résultat immeuble'!#REF!&gt;1)),'Référence&amp;tarifs'!#REF!,0)))))</f>
        <v>#REF!</v>
      </c>
      <c r="AD47" s="230">
        <f>IF('Saisie immeuble'!I44+'Saisie immeuble'!J44&gt;0,18*'Saisie immeuble'!C44+3.5*('Saisie immeuble'!I44+'Saisie immeuble'!J44-1)*'Saisie immeuble'!C44,0)</f>
        <v>0</v>
      </c>
      <c r="AE47" s="231"/>
      <c r="AF47" s="232"/>
      <c r="AG47" s="233" t="e">
        <f t="shared" si="11"/>
        <v>#N/A</v>
      </c>
      <c r="AH47" s="228">
        <f>IF('Saisie immeuble'!I44+'Saisie immeuble'!J44&gt;0,350+80*('Saisie immeuble'!I44+'Saisie immeuble'!J44-1),0)</f>
        <v>0</v>
      </c>
      <c r="AI47" s="233" t="e">
        <f>IF('Saisie immeuble'!H44="gaz de ville",Feuil1!AB47,IF('Saisie immeuble'!H44=$B$72,V47,0))*Feuil1!AH47+IF(AND(R47&lt;&gt;"gaz",(S47&lt;&gt;"gaz"),('Saisie immeuble'!H44="gaz de ville")),Feuil1!AA47,0)</f>
        <v>#N/A</v>
      </c>
      <c r="AJ47" s="228" t="e">
        <f>VLOOKUP('Saisie immeuble'!E44,Feuil1!$G$58:$I$75,2,0)</f>
        <v>#N/A</v>
      </c>
      <c r="AK47" s="184" t="e">
        <f>VLOOKUP('Saisie immeuble'!E44,Feuil1!$G$58:$I$75,3,0)</f>
        <v>#N/A</v>
      </c>
      <c r="AL47" s="234" t="e">
        <f>IF(AK47="élec",V47,IF(AK47="gaz",AB47,IF(AK47="fioul",'Référence&amp;tarifs'!$B$25,IF(AK47="bois buche",'Référence&amp;tarifs'!$B$23,IF(AK47="bois granulés",'Référence&amp;tarifs'!$B$24,IF(AK47=I91,0.8*('Référence&amp;tarifs'!$B$23+'Référence&amp;tarifs'!B49)/2+0.2*Feuil1!AB47,0))))))</f>
        <v>#N/A</v>
      </c>
      <c r="AM47" s="228">
        <f>IF('Saisie immeuble'!I44+'Saisie immeuble'!J44&gt;0,Feuil1!$AM$13+2*('Saisie immeuble'!I44+'Saisie immeuble'!J44-1),0)</f>
        <v>0</v>
      </c>
      <c r="AN47" s="184">
        <f>IF('Saisie immeuble'!I44+'Saisie immeuble'!J44&gt;0,Feuil1!$AN$13*('Saisie immeuble'!I44+'Saisie immeuble'!J44),0)</f>
        <v>0</v>
      </c>
      <c r="AO47" s="184">
        <f>IF('Saisie immeuble'!I44+'Saisie immeuble'!J44&gt;0,Feuil1!$AO$13+3*('Saisie immeuble'!I44+'Saisie immeuble'!J44-1),0)</f>
        <v>0</v>
      </c>
      <c r="AP47" s="184">
        <f>IF('Saisie immeuble'!I44+'Saisie immeuble'!J44&gt;0,Feuil1!$AP$13+2*('Saisie immeuble'!I44+'Saisie immeuble'!J44-1),0)</f>
        <v>0</v>
      </c>
      <c r="AQ47" s="184">
        <f>IF('Saisie immeuble'!I44+'Saisie immeuble'!J44&gt;0,Feuil1!$AQ$13*('Saisie immeuble'!I44+'Saisie immeuble'!J44),0)</f>
        <v>0</v>
      </c>
      <c r="AR47" s="184">
        <f t="shared" si="8"/>
        <v>0</v>
      </c>
      <c r="AS47" s="224" t="e">
        <f>AR47*'Saisie immeuble'!$F$8+IF(AND(R47&lt;&gt;"gaz",(S47="gaz")),AA47,0)</f>
        <v>#N/A</v>
      </c>
      <c r="AT47" s="228">
        <f>IF('Saisie immeuble'!I44+'Saisie immeuble'!J44&gt;0,1100+700*('Saisie immeuble'!I44+'Saisie immeuble'!J44-1),0)</f>
        <v>0</v>
      </c>
      <c r="AU47" s="235" t="e">
        <f>IF(AW47="élec",Feuil1!V47,IF(AW47="gaz",Feuil1!AB47,IF(AW47="fioul",'Référence&amp;tarifs'!$B$25,IF(AW47="bois",('Référence&amp;tarifs'!$B$23+'Référence&amp;tarifs'!$B$24)/2,0))))</f>
        <v>#N/A</v>
      </c>
      <c r="AV47" s="184" t="e">
        <f>VLOOKUP('Saisie immeuble'!F44,Feuil1!$Q$57:$U$70,4,0)</f>
        <v>#N/A</v>
      </c>
      <c r="AW47" s="184" t="e">
        <f>VLOOKUP('Saisie immeuble'!F44,Feuil1!$Q$57:$U$70,5,0)</f>
        <v>#N/A</v>
      </c>
      <c r="AX47" s="233" t="e">
        <f t="shared" si="12"/>
        <v>#N/A</v>
      </c>
    </row>
    <row r="48" spans="2:50" x14ac:dyDescent="0.25">
      <c r="B48" s="228" t="s">
        <v>417</v>
      </c>
      <c r="C48" s="184">
        <f>IF('Saisie immeuble'!D45=Feuil1!$B$4,4,IF(AND('Saisie immeuble'!D45=$B$5,('Saisie immeuble'!$C$4=Feuil1!$C$5)),5,IF(AND('Saisie immeuble'!D45=$B$5,('Saisie immeuble'!$C$4=Feuil1!$C$6)),6,IF(AND('Saisie immeuble'!D45=Feuil1!$B$7,('Saisie immeuble'!$C$4=Feuil1!$C$7)),7,IF(AND('Saisie immeuble'!D45=Feuil1!$B$7,('Saisie immeuble'!$C$4=Feuil1!$C$8)),8,0)))))</f>
        <v>0</v>
      </c>
      <c r="D48" s="223" t="e">
        <f>HLOOKUP('Saisie immeuble'!$C$3,Feuil1!$D$1:$BM$8,Feuil1!C48,0)</f>
        <v>#VALUE!</v>
      </c>
      <c r="E48" s="184">
        <f>HLOOKUP('Saisie immeuble'!$C$3,Feuil1!$D$1:$BM$8,3,0)</f>
        <v>3</v>
      </c>
      <c r="F48" s="184">
        <f>IF(E48=1,450+'Saisie immeuble'!C45*6,IF(E48=2,300+'Saisie immeuble'!C45*5,150+'Saisie immeuble'!C45*3))</f>
        <v>150</v>
      </c>
      <c r="G48" s="184">
        <f>IF(E48=1,1400+'Saisie immeuble'!C45*6,IF(E48=2,1100+'Saisie immeuble'!C45*6,500+'Saisie immeuble'!C45*6))</f>
        <v>500</v>
      </c>
      <c r="H48" s="223">
        <f>IF('Saisie immeuble'!$C$6="oui",IF('Saisie immeuble'!D45="dernier étage",IF(Feuil1!E48=1,0.4*Feuil1!D48,IF(Feuil1!E48=2,0.35*Feuil1!D48,IF(Feuil1!E48=3,0.3*Feuil1!D48,0))),0),0)</f>
        <v>0</v>
      </c>
      <c r="I48" s="223" t="e">
        <f>IF('Saisie immeuble'!$C$7="oui",IF(AND(Feuil1!E48=1,('Saisie immeuble'!$C$4=Feuil1!$C$5)),0.3*Feuil1!D48,IF(AND(Feuil1!E48=1,('Saisie immeuble'!$C$4=Feuil1!$C$6)),0.2*Feuil1!D48,IF(AND(Feuil1!E48=2,('Saisie immeuble'!$C$4=Feuil1!$C$5)),0.25*Feuil1!D48,IF(AND(Feuil1!E48=2,('Saisie immeuble'!$C$4=Feuil1!$C$6)),0.15*Feuil1!D48,IF(AND(Feuil1!E48=3,('Saisie immeuble'!$C$4=Feuil1!$C$5)),0.2*Feuil1!D48,IF(AND(Feuil1!E48=3,('Saisie immeuble'!$C$4=Feuil1!$C$6)),0.12*Feuil1!D48)))))),0)</f>
        <v>#VALUE!</v>
      </c>
      <c r="J48" s="223" t="e">
        <f>IF('Saisie immeuble'!$C$8="oui",IF(AND(Feuil1!E48=1,('Saisie immeuble'!$C$4=Feuil1!$C$5)),0.22*Feuil1!D48,IF(AND(Feuil1!E48=1,('Saisie immeuble'!$C$4=Feuil1!$C$6)),0.14*Feuil1!D48,IF(AND(Feuil1!E48=2,('Saisie immeuble'!$C$4=Feuil1!$C$5)),0.2*Feuil1!D48,IF(AND(Feuil1!E48=2,('Saisie immeuble'!$C$4=Feuil1!$C$6)),0.12*Feuil1!D48,IF(AND(Feuil1!E48=3,('Saisie immeuble'!$C$4=Feuil1!$C$5)),0.16*Feuil1!D48,IF(AND(Feuil1!E48=3,('Saisie immeuble'!$C$4=Feuil1!$C$6)),0.1*Feuil1!D48)))))),0)</f>
        <v>#VALUE!</v>
      </c>
      <c r="K48" s="223">
        <f>IF('Saisie immeuble'!$F$7="oui",IF('Saisie immeuble'!D45="rez de chaussée",IF(Feuil1!E48=1,0.2*Feuil1!D48,IF(Feuil1!E48=2,0.16*Feuil1!D48,IF(Feuil1!E48=3,0.12*Feuil1!D48,0))),0),0)</f>
        <v>0</v>
      </c>
      <c r="L48" s="184">
        <f>IF('Saisie immeuble'!C45&gt;0,IF('Saisie immeuble'!C45&gt;57,('Saisie immeuble'!C45-57)*55,('Saisie immeuble'!C45-57)*35),0)</f>
        <v>0</v>
      </c>
      <c r="M48" s="184">
        <f>IF('Saisie immeuble'!C45&gt;0,IF('Saisie immeuble'!$H$7=Feuil1!$B$78,IF(Feuil1!E48=1,700,IF(Feuil1!E48=2,550,400)),IF('Saisie immeuble'!$H$7=Feuil1!$B$79,IF(Feuil1!E48=1,350,IF(Feuil1!E48=2,275,200)),0))*(1-((57-'Saisie immeuble'!C45)/100)),0)</f>
        <v>0</v>
      </c>
      <c r="N48" s="223" t="e">
        <f>D48-IF('Saisie immeuble'!G45=Feuil1!$B$68,Feuil1!F48,IF('Saisie immeuble'!G45=Feuil1!$B$69,G48,0))-H48-I48-J48+L48-K48+M48</f>
        <v>#VALUE!</v>
      </c>
      <c r="O48" s="237" t="e">
        <f t="shared" si="9"/>
        <v>#VALUE!</v>
      </c>
      <c r="P48" s="223" t="e">
        <f>IF('Saisie immeuble'!$C$5="individuel",N48/AJ48,O48/AJ48)</f>
        <v>#VALUE!</v>
      </c>
      <c r="Q48" s="224" t="e">
        <f t="shared" si="10"/>
        <v>#VALUE!</v>
      </c>
      <c r="R48" s="228" t="e">
        <f>VLOOKUP('Saisie immeuble'!E45,Feuil1!$G$58:$I$75,3,0)</f>
        <v>#N/A</v>
      </c>
      <c r="S48" s="184" t="e">
        <f>VLOOKUP('Saisie immeuble'!F45,Feuil1!$Q$57:$U$70,5,0)</f>
        <v>#N/A</v>
      </c>
      <c r="T48" s="184" t="e">
        <f>IF(AND(R48&lt;&gt;"élec",(S48&lt;&gt;"élec"),('Saisie immeuble'!C45&lt;40)),'Référence&amp;tarifs'!$A$6,IF(AND(R48="élec",(S48="élec")),'Référence&amp;tarifs'!$A$8,'Référence&amp;tarifs'!$A$7))</f>
        <v>#N/A</v>
      </c>
      <c r="U48" s="184" t="e">
        <f>VLOOKUP(T48,'Référence&amp;tarifs'!$A$6:$C$10,2,0)</f>
        <v>#N/A</v>
      </c>
      <c r="V48" s="184" t="e">
        <f>VLOOKUP(T48,'Référence&amp;tarifs'!$A$6:$C$10,3,0)</f>
        <v>#N/A</v>
      </c>
      <c r="W48" s="184"/>
      <c r="X48" s="236" t="e">
        <f>IF('Résultat immeuble'!T32&lt;1.1,HLOOKUP(Feuil1!T48,'Référence&amp;tarifs'!#REF!,2,0),IF('Résultat immeuble'!T32&gt;1.9,HLOOKUP(Feuil1!T48,'Référence&amp;tarifs'!#REF!,4,0),HLOOKUP(Feuil1!T48,'Référence&amp;tarifs'!#REF!,3,0)))</f>
        <v>#N/A</v>
      </c>
      <c r="Y48" s="228" t="e">
        <f>IF(R48="gaz",N48,0)+IF(S48="gaz",AT48,0)+IF('Saisie immeuble'!H45="gaz de ville",Feuil1!AH48,0)</f>
        <v>#N/A</v>
      </c>
      <c r="Z48" s="184" t="e">
        <f>IF(Y48&lt;1000,'Référence&amp;tarifs'!$A$16,IF(Y48&gt;5999,'Référence&amp;tarifs'!$A$18,'Référence&amp;tarifs'!$A$17))</f>
        <v>#N/A</v>
      </c>
      <c r="AA48" s="184" t="e">
        <f>VLOOKUP(Z48,'Référence&amp;tarifs'!$A$16:$C$18,2,0)</f>
        <v>#N/A</v>
      </c>
      <c r="AB48" s="184" t="e">
        <f>VLOOKUP(Z48,'Référence&amp;tarifs'!$A$16:$C$18,3,0)</f>
        <v>#N/A</v>
      </c>
      <c r="AC48" s="229" t="e">
        <f>IF('Saisie immeuble'!$C$5="individuel",IF('Résultat immeuble'!T32=1,HLOOKUP(Feuil1!Z48,'Référence&amp;tarifs'!#REF!,2,0),IF('Résultat immeuble'!T32&gt;1.9,HLOOKUP(Feuil1!Z48,'Référence&amp;tarifs'!#REF!,4,0),HLOOKUP(Feuil1!Z48,'Référence&amp;tarifs'!#REF!,3,0))),IF('Saisie immeuble'!$C$5="collectif",IF('Résultat immeuble'!T32=1,'Référence&amp;tarifs'!#REF!,IF('Résultat immeuble'!T32&gt;1.9,'Référence&amp;tarifs'!#REF!,IF(AND('Résultat immeuble'!T32&lt;2,('Résultat immeuble'!T32&gt;1)),'Référence&amp;tarifs'!#REF!,0)))))</f>
        <v>#N/A</v>
      </c>
      <c r="AD48" s="230">
        <f>IF('Saisie immeuble'!I45+'Saisie immeuble'!J45&gt;0,18*'Saisie immeuble'!C45+3.5*('Saisie immeuble'!I45+'Saisie immeuble'!J45-1)*'Saisie immeuble'!C45,0)</f>
        <v>0</v>
      </c>
      <c r="AE48" s="231"/>
      <c r="AF48" s="232"/>
      <c r="AG48" s="233" t="e">
        <f t="shared" si="11"/>
        <v>#N/A</v>
      </c>
      <c r="AH48" s="228">
        <f>IF('Saisie immeuble'!I45+'Saisie immeuble'!J45&gt;0,350+80*('Saisie immeuble'!I45+'Saisie immeuble'!J45-1),0)</f>
        <v>0</v>
      </c>
      <c r="AI48" s="233" t="e">
        <f>IF('Saisie immeuble'!H45="gaz de ville",Feuil1!AB48,IF('Saisie immeuble'!H45=$B$72,V48,0))*Feuil1!AH48+IF(AND(R48&lt;&gt;"gaz",(S48&lt;&gt;"gaz"),('Saisie immeuble'!H45="gaz de ville")),Feuil1!AA48,0)</f>
        <v>#N/A</v>
      </c>
      <c r="AJ48" s="228" t="e">
        <f>VLOOKUP('Saisie immeuble'!E45,Feuil1!$G$58:$I$75,2,0)</f>
        <v>#N/A</v>
      </c>
      <c r="AK48" s="184" t="e">
        <f>VLOOKUP('Saisie immeuble'!E45,Feuil1!$G$58:$I$75,3,0)</f>
        <v>#N/A</v>
      </c>
      <c r="AL48" s="234" t="e">
        <f>IF(AK48="élec",V48,IF(AK48="gaz",AB48,IF(AK48="fioul",'Référence&amp;tarifs'!$B$25,IF(AK48="bois buche",'Référence&amp;tarifs'!$B$23,IF(AK48="bois granulés",'Référence&amp;tarifs'!$B$24,IF(AK48=I92,0.8*('Référence&amp;tarifs'!$B$23+'Référence&amp;tarifs'!B50)/2+0.2*Feuil1!AB48,0))))))</f>
        <v>#N/A</v>
      </c>
      <c r="AM48" s="228">
        <f>IF('Saisie immeuble'!I45+'Saisie immeuble'!J45&gt;0,Feuil1!$AM$13+2*('Saisie immeuble'!I45+'Saisie immeuble'!J45-1),0)</f>
        <v>0</v>
      </c>
      <c r="AN48" s="184">
        <f>IF('Saisie immeuble'!I45+'Saisie immeuble'!J45&gt;0,Feuil1!$AN$13*('Saisie immeuble'!I45+'Saisie immeuble'!J45),0)</f>
        <v>0</v>
      </c>
      <c r="AO48" s="184">
        <f>IF('Saisie immeuble'!I45+'Saisie immeuble'!J45&gt;0,Feuil1!$AO$13+3*('Saisie immeuble'!I45+'Saisie immeuble'!J45-1),0)</f>
        <v>0</v>
      </c>
      <c r="AP48" s="184">
        <f>IF('Saisie immeuble'!I45+'Saisie immeuble'!J45&gt;0,Feuil1!$AP$13+2*('Saisie immeuble'!I45+'Saisie immeuble'!J45-1),0)</f>
        <v>0</v>
      </c>
      <c r="AQ48" s="184">
        <f>IF('Saisie immeuble'!I45+'Saisie immeuble'!J45&gt;0,Feuil1!$AQ$13*('Saisie immeuble'!I45+'Saisie immeuble'!J45),0)</f>
        <v>0</v>
      </c>
      <c r="AR48" s="184">
        <f t="shared" si="8"/>
        <v>0</v>
      </c>
      <c r="AS48" s="224" t="e">
        <f>AR48*'Saisie immeuble'!$F$8+IF(AND(R48&lt;&gt;"gaz",(S48="gaz")),AA48,0)</f>
        <v>#N/A</v>
      </c>
      <c r="AT48" s="228">
        <f>IF('Saisie immeuble'!I45+'Saisie immeuble'!J45&gt;0,1100+700*('Saisie immeuble'!I45+'Saisie immeuble'!J45-1),0)</f>
        <v>0</v>
      </c>
      <c r="AU48" s="235" t="e">
        <f>IF(AW48="élec",Feuil1!V48,IF(AW48="gaz",Feuil1!AB48,IF(AW48="fioul",'Référence&amp;tarifs'!$B$25,IF(AW48="bois",('Référence&amp;tarifs'!$B$23+'Référence&amp;tarifs'!$B$24)/2,0))))</f>
        <v>#N/A</v>
      </c>
      <c r="AV48" s="184" t="e">
        <f>VLOOKUP('Saisie immeuble'!F45,Feuil1!$Q$57:$U$70,4,0)</f>
        <v>#N/A</v>
      </c>
      <c r="AW48" s="184" t="e">
        <f>VLOOKUP('Saisie immeuble'!F45,Feuil1!$Q$57:$U$70,5,0)</f>
        <v>#N/A</v>
      </c>
      <c r="AX48" s="233" t="e">
        <f t="shared" si="12"/>
        <v>#N/A</v>
      </c>
    </row>
    <row r="49" spans="2:50" x14ac:dyDescent="0.25">
      <c r="B49" s="228" t="s">
        <v>418</v>
      </c>
      <c r="C49" s="184">
        <f>IF('Saisie immeuble'!D46=Feuil1!$B$4,4,IF(AND('Saisie immeuble'!D46=$B$5,('Saisie immeuble'!$C$4=Feuil1!$C$5)),5,IF(AND('Saisie immeuble'!D46=$B$5,('Saisie immeuble'!$C$4=Feuil1!$C$6)),6,IF(AND('Saisie immeuble'!D46=Feuil1!$B$7,('Saisie immeuble'!$C$4=Feuil1!$C$7)),7,IF(AND('Saisie immeuble'!D46=Feuil1!$B$7,('Saisie immeuble'!$C$4=Feuil1!$C$8)),8,0)))))</f>
        <v>0</v>
      </c>
      <c r="D49" s="223" t="e">
        <f>HLOOKUP('Saisie immeuble'!$C$3,Feuil1!$D$1:$BM$8,Feuil1!C49,0)</f>
        <v>#VALUE!</v>
      </c>
      <c r="E49" s="184">
        <f>HLOOKUP('Saisie immeuble'!$C$3,Feuil1!$D$1:$BM$8,3,0)</f>
        <v>3</v>
      </c>
      <c r="F49" s="184">
        <f>IF(E49=1,450+'Saisie immeuble'!C46*6,IF(E49=2,300+'Saisie immeuble'!C46*5,150+'Saisie immeuble'!C46*3))</f>
        <v>150</v>
      </c>
      <c r="G49" s="184">
        <f>IF(E49=1,1400+'Saisie immeuble'!C46*6,IF(E49=2,1100+'Saisie immeuble'!C46*6,500+'Saisie immeuble'!C46*6))</f>
        <v>500</v>
      </c>
      <c r="H49" s="223">
        <f>IF('Saisie immeuble'!$C$6="oui",IF('Saisie immeuble'!D46="dernier étage",IF(Feuil1!E49=1,0.4*Feuil1!D49,IF(Feuil1!E49=2,0.35*Feuil1!D49,IF(Feuil1!E49=3,0.3*Feuil1!D49,0))),0),0)</f>
        <v>0</v>
      </c>
      <c r="I49" s="223" t="e">
        <f>IF('Saisie immeuble'!$C$7="oui",IF(AND(Feuil1!E49=1,('Saisie immeuble'!$C$4=Feuil1!$C$5)),0.3*Feuil1!D49,IF(AND(Feuil1!E49=1,('Saisie immeuble'!$C$4=Feuil1!$C$6)),0.2*Feuil1!D49,IF(AND(Feuil1!E49=2,('Saisie immeuble'!$C$4=Feuil1!$C$5)),0.25*Feuil1!D49,IF(AND(Feuil1!E49=2,('Saisie immeuble'!$C$4=Feuil1!$C$6)),0.15*Feuil1!D49,IF(AND(Feuil1!E49=3,('Saisie immeuble'!$C$4=Feuil1!$C$5)),0.2*Feuil1!D49,IF(AND(Feuil1!E49=3,('Saisie immeuble'!$C$4=Feuil1!$C$6)),0.12*Feuil1!D49)))))),0)</f>
        <v>#VALUE!</v>
      </c>
      <c r="J49" s="223" t="e">
        <f>IF('Saisie immeuble'!$C$8="oui",IF(AND(Feuil1!E49=1,('Saisie immeuble'!$C$4=Feuil1!$C$5)),0.22*Feuil1!D49,IF(AND(Feuil1!E49=1,('Saisie immeuble'!$C$4=Feuil1!$C$6)),0.14*Feuil1!D49,IF(AND(Feuil1!E49=2,('Saisie immeuble'!$C$4=Feuil1!$C$5)),0.2*Feuil1!D49,IF(AND(Feuil1!E49=2,('Saisie immeuble'!$C$4=Feuil1!$C$6)),0.12*Feuil1!D49,IF(AND(Feuil1!E49=3,('Saisie immeuble'!$C$4=Feuil1!$C$5)),0.16*Feuil1!D49,IF(AND(Feuil1!E49=3,('Saisie immeuble'!$C$4=Feuil1!$C$6)),0.1*Feuil1!D49)))))),0)</f>
        <v>#VALUE!</v>
      </c>
      <c r="K49" s="223">
        <f>IF('Saisie immeuble'!$F$7="oui",IF('Saisie immeuble'!D46="rez de chaussée",IF(Feuil1!E49=1,0.2*Feuil1!D49,IF(Feuil1!E49=2,0.16*Feuil1!D49,IF(Feuil1!E49=3,0.12*Feuil1!D49,0))),0),0)</f>
        <v>0</v>
      </c>
      <c r="L49" s="184">
        <f>IF('Saisie immeuble'!C46&gt;0,IF('Saisie immeuble'!C46&gt;57,('Saisie immeuble'!C46-57)*55,('Saisie immeuble'!C46-57)*35),0)</f>
        <v>0</v>
      </c>
      <c r="M49" s="184">
        <f>IF('Saisie immeuble'!C46&gt;0,IF('Saisie immeuble'!$H$7=Feuil1!$B$78,IF(Feuil1!E49=1,700,IF(Feuil1!E49=2,550,400)),IF('Saisie immeuble'!$H$7=Feuil1!$B$79,IF(Feuil1!E49=1,350,IF(Feuil1!E49=2,275,200)),0))*(1-((57-'Saisie immeuble'!C46)/100)),0)</f>
        <v>0</v>
      </c>
      <c r="N49" s="223" t="e">
        <f>D49-IF('Saisie immeuble'!G46=Feuil1!$B$68,Feuil1!F49,IF('Saisie immeuble'!G46=Feuil1!$B$69,G49,0))-H49-I49-J49+L49-K49+M49</f>
        <v>#VALUE!</v>
      </c>
      <c r="O49" s="237" t="e">
        <f t="shared" si="9"/>
        <v>#VALUE!</v>
      </c>
      <c r="P49" s="223" t="e">
        <f>IF('Saisie immeuble'!$C$5="individuel",N49/AJ49,O49/AJ49)</f>
        <v>#VALUE!</v>
      </c>
      <c r="Q49" s="224" t="e">
        <f t="shared" si="10"/>
        <v>#VALUE!</v>
      </c>
      <c r="R49" s="228" t="e">
        <f>VLOOKUP('Saisie immeuble'!E46,Feuil1!$G$58:$I$75,3,0)</f>
        <v>#N/A</v>
      </c>
      <c r="S49" s="184" t="e">
        <f>VLOOKUP('Saisie immeuble'!F46,Feuil1!$Q$57:$U$70,5,0)</f>
        <v>#N/A</v>
      </c>
      <c r="T49" s="184" t="e">
        <f>IF(AND(R49&lt;&gt;"élec",(S49&lt;&gt;"élec"),('Saisie immeuble'!C46&lt;40)),'Référence&amp;tarifs'!$A$6,IF(AND(R49="élec",(S49="élec")),'Référence&amp;tarifs'!$A$8,'Référence&amp;tarifs'!$A$7))</f>
        <v>#N/A</v>
      </c>
      <c r="U49" s="184" t="e">
        <f>VLOOKUP(T49,'Référence&amp;tarifs'!$A$6:$C$10,2,0)</f>
        <v>#N/A</v>
      </c>
      <c r="V49" s="184" t="e">
        <f>VLOOKUP(T49,'Référence&amp;tarifs'!$A$6:$C$10,3,0)</f>
        <v>#N/A</v>
      </c>
      <c r="W49" s="184"/>
      <c r="X49" s="236" t="e">
        <f>IF('Résultat immeuble'!T33&lt;1.1,HLOOKUP(Feuil1!T49,'Référence&amp;tarifs'!#REF!,2,0),IF('Résultat immeuble'!T33&gt;1.9,HLOOKUP(Feuil1!T49,'Référence&amp;tarifs'!#REF!,4,0),HLOOKUP(Feuil1!T49,'Référence&amp;tarifs'!#REF!,3,0)))</f>
        <v>#N/A</v>
      </c>
      <c r="Y49" s="228" t="e">
        <f>IF(R49="gaz",N49,0)+IF(S49="gaz",AT49,0)+IF('Saisie immeuble'!H46="gaz de ville",Feuil1!AH49,0)</f>
        <v>#N/A</v>
      </c>
      <c r="Z49" s="184" t="e">
        <f>IF(Y49&lt;1000,'Référence&amp;tarifs'!$A$16,IF(Y49&gt;5999,'Référence&amp;tarifs'!$A$18,'Référence&amp;tarifs'!$A$17))</f>
        <v>#N/A</v>
      </c>
      <c r="AA49" s="184" t="e">
        <f>VLOOKUP(Z49,'Référence&amp;tarifs'!$A$16:$C$18,2,0)</f>
        <v>#N/A</v>
      </c>
      <c r="AB49" s="184" t="e">
        <f>VLOOKUP(Z49,'Référence&amp;tarifs'!$A$16:$C$18,3,0)</f>
        <v>#N/A</v>
      </c>
      <c r="AC49" s="229" t="e">
        <f>IF('Saisie immeuble'!$C$5="individuel",IF('Résultat immeuble'!T33=1,HLOOKUP(Feuil1!Z49,'Référence&amp;tarifs'!#REF!,2,0),IF('Résultat immeuble'!T33&gt;1.9,HLOOKUP(Feuil1!Z49,'Référence&amp;tarifs'!#REF!,4,0),HLOOKUP(Feuil1!Z49,'Référence&amp;tarifs'!#REF!,3,0))),IF('Saisie immeuble'!$C$5="collectif",IF('Résultat immeuble'!T33=1,'Référence&amp;tarifs'!#REF!,IF('Résultat immeuble'!T33&gt;1.9,'Référence&amp;tarifs'!#REF!,IF(AND('Résultat immeuble'!T33&lt;2,('Résultat immeuble'!T33&gt;1)),'Référence&amp;tarifs'!#REF!,0)))))</f>
        <v>#N/A</v>
      </c>
      <c r="AD49" s="230">
        <f>IF('Saisie immeuble'!I46+'Saisie immeuble'!J46&gt;0,18*'Saisie immeuble'!C46+3.5*('Saisie immeuble'!I46+'Saisie immeuble'!J46-1)*'Saisie immeuble'!C46,0)</f>
        <v>0</v>
      </c>
      <c r="AE49" s="231"/>
      <c r="AF49" s="232"/>
      <c r="AG49" s="233" t="e">
        <f t="shared" si="11"/>
        <v>#N/A</v>
      </c>
      <c r="AH49" s="228">
        <f>IF('Saisie immeuble'!I46+'Saisie immeuble'!J46&gt;0,350+80*('Saisie immeuble'!I46+'Saisie immeuble'!J46-1),0)</f>
        <v>0</v>
      </c>
      <c r="AI49" s="233" t="e">
        <f>IF('Saisie immeuble'!H46="gaz de ville",Feuil1!AB49,IF('Saisie immeuble'!H46=$B$72,V49,0))*Feuil1!AH49+IF(AND(R49&lt;&gt;"gaz",(S49&lt;&gt;"gaz"),('Saisie immeuble'!H46="gaz de ville")),Feuil1!AA49,0)</f>
        <v>#N/A</v>
      </c>
      <c r="AJ49" s="228" t="e">
        <f>VLOOKUP('Saisie immeuble'!E46,Feuil1!$G$58:$I$75,2,0)</f>
        <v>#N/A</v>
      </c>
      <c r="AK49" s="184" t="e">
        <f>VLOOKUP('Saisie immeuble'!E46,Feuil1!$G$58:$I$75,3,0)</f>
        <v>#N/A</v>
      </c>
      <c r="AL49" s="234" t="e">
        <f>IF(AK49="élec",V49,IF(AK49="gaz",AB49,IF(AK49="fioul",'Référence&amp;tarifs'!$B$25,IF(AK49="bois buche",'Référence&amp;tarifs'!$B$23,IF(AK49="bois granulés",'Référence&amp;tarifs'!$B$24,IF(AK49=I93,0.8*('Référence&amp;tarifs'!$B$23+'Référence&amp;tarifs'!B51)/2+0.2*Feuil1!AB49,0))))))</f>
        <v>#N/A</v>
      </c>
      <c r="AM49" s="228">
        <f>IF('Saisie immeuble'!I46+'Saisie immeuble'!J46&gt;0,Feuil1!$AM$13+2*('Saisie immeuble'!I46+'Saisie immeuble'!J46-1),0)</f>
        <v>0</v>
      </c>
      <c r="AN49" s="184">
        <f>IF('Saisie immeuble'!I46+'Saisie immeuble'!J46&gt;0,Feuil1!$AN$13*('Saisie immeuble'!I46+'Saisie immeuble'!J46),0)</f>
        <v>0</v>
      </c>
      <c r="AO49" s="184">
        <f>IF('Saisie immeuble'!I46+'Saisie immeuble'!J46&gt;0,Feuil1!$AO$13+3*('Saisie immeuble'!I46+'Saisie immeuble'!J46-1),0)</f>
        <v>0</v>
      </c>
      <c r="AP49" s="184">
        <f>IF('Saisie immeuble'!I46+'Saisie immeuble'!J46&gt;0,Feuil1!$AP$13+2*('Saisie immeuble'!I46+'Saisie immeuble'!J46-1),0)</f>
        <v>0</v>
      </c>
      <c r="AQ49" s="184">
        <f>IF('Saisie immeuble'!I46+'Saisie immeuble'!J46&gt;0,Feuil1!$AQ$13*('Saisie immeuble'!I46+'Saisie immeuble'!J46),0)</f>
        <v>0</v>
      </c>
      <c r="AR49" s="184">
        <f t="shared" si="8"/>
        <v>0</v>
      </c>
      <c r="AS49" s="224" t="e">
        <f>AR49*'Saisie immeuble'!$F$8+IF(AND(R49&lt;&gt;"gaz",(S49="gaz")),AA49,0)</f>
        <v>#N/A</v>
      </c>
      <c r="AT49" s="228">
        <f>IF('Saisie immeuble'!I46+'Saisie immeuble'!J46&gt;0,1100+700*('Saisie immeuble'!I46+'Saisie immeuble'!J46-1),0)</f>
        <v>0</v>
      </c>
      <c r="AU49" s="235" t="e">
        <f>IF(AW49="élec",Feuil1!V49,IF(AW49="gaz",Feuil1!AB49,IF(AW49="fioul",'Référence&amp;tarifs'!$B$25,IF(AW49="bois",('Référence&amp;tarifs'!$B$23+'Référence&amp;tarifs'!$B$24)/2,0))))</f>
        <v>#N/A</v>
      </c>
      <c r="AV49" s="184" t="e">
        <f>VLOOKUP('Saisie immeuble'!F46,Feuil1!$Q$57:$U$70,4,0)</f>
        <v>#N/A</v>
      </c>
      <c r="AW49" s="184" t="e">
        <f>VLOOKUP('Saisie immeuble'!F46,Feuil1!$Q$57:$U$70,5,0)</f>
        <v>#N/A</v>
      </c>
      <c r="AX49" s="233" t="e">
        <f t="shared" si="12"/>
        <v>#N/A</v>
      </c>
    </row>
    <row r="50" spans="2:50" x14ac:dyDescent="0.25">
      <c r="B50" s="228" t="s">
        <v>419</v>
      </c>
      <c r="C50" s="184">
        <f>IF('Saisie immeuble'!D47=Feuil1!$B$4,4,IF(AND('Saisie immeuble'!D47=$B$5,('Saisie immeuble'!$C$4=Feuil1!$C$5)),5,IF(AND('Saisie immeuble'!D47=$B$5,('Saisie immeuble'!$C$4=Feuil1!$C$6)),6,IF(AND('Saisie immeuble'!D47=Feuil1!$B$7,('Saisie immeuble'!$C$4=Feuil1!$C$7)),7,IF(AND('Saisie immeuble'!D47=Feuil1!$B$7,('Saisie immeuble'!$C$4=Feuil1!$C$8)),8,0)))))</f>
        <v>0</v>
      </c>
      <c r="D50" s="223" t="e">
        <f>HLOOKUP('Saisie immeuble'!$C$3,Feuil1!$D$1:$BM$8,Feuil1!C50,0)</f>
        <v>#VALUE!</v>
      </c>
      <c r="E50" s="184">
        <f>HLOOKUP('Saisie immeuble'!$C$3,Feuil1!$D$1:$BM$8,3,0)</f>
        <v>3</v>
      </c>
      <c r="F50" s="184">
        <f>IF(E50=1,450+'Saisie immeuble'!C47*6,IF(E50=2,300+'Saisie immeuble'!C47*5,150+'Saisie immeuble'!C47*3))</f>
        <v>150</v>
      </c>
      <c r="G50" s="184">
        <f>IF(E50=1,1400+'Saisie immeuble'!C47*6,IF(E50=2,1100+'Saisie immeuble'!C47*6,500+'Saisie immeuble'!C47*6))</f>
        <v>500</v>
      </c>
      <c r="H50" s="223">
        <f>IF('Saisie immeuble'!$C$6="oui",IF('Saisie immeuble'!D47="dernier étage",IF(Feuil1!E50=1,0.4*Feuil1!D50,IF(Feuil1!E50=2,0.35*Feuil1!D50,IF(Feuil1!E50=3,0.3*Feuil1!D50,0))),0),0)</f>
        <v>0</v>
      </c>
      <c r="I50" s="223" t="e">
        <f>IF('Saisie immeuble'!$C$7="oui",IF(AND(Feuil1!E50=1,('Saisie immeuble'!$C$4=Feuil1!$C$5)),0.3*Feuil1!D50,IF(AND(Feuil1!E50=1,('Saisie immeuble'!$C$4=Feuil1!$C$6)),0.2*Feuil1!D50,IF(AND(Feuil1!E50=2,('Saisie immeuble'!$C$4=Feuil1!$C$5)),0.25*Feuil1!D50,IF(AND(Feuil1!E50=2,('Saisie immeuble'!$C$4=Feuil1!$C$6)),0.15*Feuil1!D50,IF(AND(Feuil1!E50=3,('Saisie immeuble'!$C$4=Feuil1!$C$5)),0.2*Feuil1!D50,IF(AND(Feuil1!E50=3,('Saisie immeuble'!$C$4=Feuil1!$C$6)),0.12*Feuil1!D50)))))),0)</f>
        <v>#VALUE!</v>
      </c>
      <c r="J50" s="223" t="e">
        <f>IF('Saisie immeuble'!$C$8="oui",IF(AND(Feuil1!E50=1,('Saisie immeuble'!$C$4=Feuil1!$C$5)),0.22*Feuil1!D50,IF(AND(Feuil1!E50=1,('Saisie immeuble'!$C$4=Feuil1!$C$6)),0.14*Feuil1!D50,IF(AND(Feuil1!E50=2,('Saisie immeuble'!$C$4=Feuil1!$C$5)),0.2*Feuil1!D50,IF(AND(Feuil1!E50=2,('Saisie immeuble'!$C$4=Feuil1!$C$6)),0.12*Feuil1!D50,IF(AND(Feuil1!E50=3,('Saisie immeuble'!$C$4=Feuil1!$C$5)),0.16*Feuil1!D50,IF(AND(Feuil1!E50=3,('Saisie immeuble'!$C$4=Feuil1!$C$6)),0.1*Feuil1!D50)))))),0)</f>
        <v>#VALUE!</v>
      </c>
      <c r="K50" s="223">
        <f>IF('Saisie immeuble'!$F$7="oui",IF('Saisie immeuble'!D47="rez de chaussée",IF(Feuil1!E50=1,0.2*Feuil1!D50,IF(Feuil1!E50=2,0.16*Feuil1!D50,IF(Feuil1!E50=3,0.12*Feuil1!D50,0))),0),0)</f>
        <v>0</v>
      </c>
      <c r="L50" s="184">
        <f>IF('Saisie immeuble'!C47&gt;0,IF('Saisie immeuble'!C47&gt;57,('Saisie immeuble'!C47-57)*55,('Saisie immeuble'!C47-57)*35),0)</f>
        <v>0</v>
      </c>
      <c r="M50" s="184">
        <f>IF('Saisie immeuble'!C47&gt;0,IF('Saisie immeuble'!$H$7=Feuil1!$B$78,IF(Feuil1!E50=1,700,IF(Feuil1!E50=2,550,400)),IF('Saisie immeuble'!$H$7=Feuil1!$B$79,IF(Feuil1!E50=1,350,IF(Feuil1!E50=2,275,200)),0))*(1-((57-'Saisie immeuble'!C47)/100)),0)</f>
        <v>0</v>
      </c>
      <c r="N50" s="223" t="e">
        <f>D50-IF('Saisie immeuble'!G47=Feuil1!$B$68,Feuil1!F50,IF('Saisie immeuble'!G47=Feuil1!$B$69,G50,0))-H50-I50-J50+L50-K50+M50</f>
        <v>#VALUE!</v>
      </c>
      <c r="O50" s="237" t="e">
        <f t="shared" si="9"/>
        <v>#VALUE!</v>
      </c>
      <c r="P50" s="223" t="e">
        <f>IF('Saisie immeuble'!$C$5="individuel",N50/AJ50,O50/AJ50)</f>
        <v>#VALUE!</v>
      </c>
      <c r="Q50" s="224" t="e">
        <f t="shared" si="10"/>
        <v>#VALUE!</v>
      </c>
      <c r="R50" s="228" t="e">
        <f>VLOOKUP('Saisie immeuble'!E47,Feuil1!$G$58:$I$75,3,0)</f>
        <v>#N/A</v>
      </c>
      <c r="S50" s="184" t="e">
        <f>VLOOKUP('Saisie immeuble'!F47,Feuil1!$Q$57:$U$70,5,0)</f>
        <v>#N/A</v>
      </c>
      <c r="T50" s="184" t="e">
        <f>IF(AND(R50&lt;&gt;"élec",(S50&lt;&gt;"élec"),('Saisie immeuble'!C47&lt;40)),'Référence&amp;tarifs'!$A$6,IF(AND(R50="élec",(S50="élec")),'Référence&amp;tarifs'!$A$8,'Référence&amp;tarifs'!$A$7))</f>
        <v>#N/A</v>
      </c>
      <c r="U50" s="184" t="e">
        <f>VLOOKUP(T50,'Référence&amp;tarifs'!$A$6:$C$10,2,0)</f>
        <v>#N/A</v>
      </c>
      <c r="V50" s="184" t="e">
        <f>VLOOKUP(T50,'Référence&amp;tarifs'!$A$6:$C$10,3,0)</f>
        <v>#N/A</v>
      </c>
      <c r="W50" s="184"/>
      <c r="X50" s="236" t="e">
        <f>IF('Résultat immeuble'!T34&lt;1.1,HLOOKUP(Feuil1!T50,'Référence&amp;tarifs'!#REF!,2,0),IF('Résultat immeuble'!T34&gt;1.9,HLOOKUP(Feuil1!T50,'Référence&amp;tarifs'!#REF!,4,0),HLOOKUP(Feuil1!T50,'Référence&amp;tarifs'!#REF!,3,0)))</f>
        <v>#N/A</v>
      </c>
      <c r="Y50" s="228" t="e">
        <f>IF(R50="gaz",N50,0)+IF(S50="gaz",AT50,0)+IF('Saisie immeuble'!H47="gaz de ville",Feuil1!AH50,0)</f>
        <v>#N/A</v>
      </c>
      <c r="Z50" s="184" t="e">
        <f>IF(Y50&lt;1000,'Référence&amp;tarifs'!$A$16,IF(Y50&gt;5999,'Référence&amp;tarifs'!$A$18,'Référence&amp;tarifs'!$A$17))</f>
        <v>#N/A</v>
      </c>
      <c r="AA50" s="184" t="e">
        <f>VLOOKUP(Z50,'Référence&amp;tarifs'!$A$16:$C$18,2,0)</f>
        <v>#N/A</v>
      </c>
      <c r="AB50" s="184" t="e">
        <f>VLOOKUP(Z50,'Référence&amp;tarifs'!$A$16:$C$18,3,0)</f>
        <v>#N/A</v>
      </c>
      <c r="AC50" s="229" t="e">
        <f>IF('Saisie immeuble'!$C$5="individuel",IF('Résultat immeuble'!T34=1,HLOOKUP(Feuil1!Z50,'Référence&amp;tarifs'!#REF!,2,0),IF('Résultat immeuble'!T34&gt;1.9,HLOOKUP(Feuil1!Z50,'Référence&amp;tarifs'!#REF!,4,0),HLOOKUP(Feuil1!Z50,'Référence&amp;tarifs'!#REF!,3,0))),IF('Saisie immeuble'!$C$5="collectif",IF('Résultat immeuble'!T34=1,'Référence&amp;tarifs'!#REF!,IF('Résultat immeuble'!T34&gt;1.9,'Référence&amp;tarifs'!#REF!,IF(AND('Résultat immeuble'!T34&lt;2,('Résultat immeuble'!T34&gt;1)),'Référence&amp;tarifs'!#REF!,0)))))</f>
        <v>#N/A</v>
      </c>
      <c r="AD50" s="230">
        <f>IF('Saisie immeuble'!I47+'Saisie immeuble'!J47&gt;0,18*'Saisie immeuble'!C47+3.5*('Saisie immeuble'!I47+'Saisie immeuble'!J47-1)*'Saisie immeuble'!C47,0)</f>
        <v>0</v>
      </c>
      <c r="AE50" s="231"/>
      <c r="AF50" s="232"/>
      <c r="AG50" s="233" t="e">
        <f t="shared" si="11"/>
        <v>#N/A</v>
      </c>
      <c r="AH50" s="228">
        <f>IF('Saisie immeuble'!I47+'Saisie immeuble'!J47&gt;0,350+80*('Saisie immeuble'!I47+'Saisie immeuble'!J47-1),0)</f>
        <v>0</v>
      </c>
      <c r="AI50" s="233" t="e">
        <f>IF('Saisie immeuble'!H47="gaz de ville",Feuil1!AB50,IF('Saisie immeuble'!H47=$B$72,V50,0))*Feuil1!AH50+IF(AND(R50&lt;&gt;"gaz",(S50&lt;&gt;"gaz"),('Saisie immeuble'!H47="gaz de ville")),Feuil1!AA50,0)</f>
        <v>#N/A</v>
      </c>
      <c r="AJ50" s="228" t="e">
        <f>VLOOKUP('Saisie immeuble'!E47,Feuil1!$G$58:$I$75,2,0)</f>
        <v>#N/A</v>
      </c>
      <c r="AK50" s="184" t="e">
        <f>VLOOKUP('Saisie immeuble'!E47,Feuil1!$G$58:$I$75,3,0)</f>
        <v>#N/A</v>
      </c>
      <c r="AL50" s="234" t="e">
        <f>IF(AK50="élec",V50,IF(AK50="gaz",AB50,IF(AK50="fioul",'Référence&amp;tarifs'!$B$25,IF(AK50="bois buche",'Référence&amp;tarifs'!$B$23,IF(AK50="bois granulés",'Référence&amp;tarifs'!$B$24,IF(AK50=I94,0.8*('Référence&amp;tarifs'!$B$23+'Référence&amp;tarifs'!B52)/2+0.2*Feuil1!AB50,0))))))</f>
        <v>#N/A</v>
      </c>
      <c r="AM50" s="228">
        <f>IF('Saisie immeuble'!I47+'Saisie immeuble'!J47&gt;0,Feuil1!$AM$13+2*('Saisie immeuble'!I47+'Saisie immeuble'!J47-1),0)</f>
        <v>0</v>
      </c>
      <c r="AN50" s="184">
        <f>IF('Saisie immeuble'!I47+'Saisie immeuble'!J47&gt;0,Feuil1!$AN$13*('Saisie immeuble'!I47+'Saisie immeuble'!J47),0)</f>
        <v>0</v>
      </c>
      <c r="AO50" s="184">
        <f>IF('Saisie immeuble'!I47+'Saisie immeuble'!J47&gt;0,Feuil1!$AO$13+3*('Saisie immeuble'!I47+'Saisie immeuble'!J47-1),0)</f>
        <v>0</v>
      </c>
      <c r="AP50" s="184">
        <f>IF('Saisie immeuble'!I47+'Saisie immeuble'!J47&gt;0,Feuil1!$AP$13+2*('Saisie immeuble'!I47+'Saisie immeuble'!J47-1),0)</f>
        <v>0</v>
      </c>
      <c r="AQ50" s="184">
        <f>IF('Saisie immeuble'!I47+'Saisie immeuble'!J47&gt;0,Feuil1!$AQ$13*('Saisie immeuble'!I47+'Saisie immeuble'!J47),0)</f>
        <v>0</v>
      </c>
      <c r="AR50" s="184">
        <f t="shared" si="8"/>
        <v>0</v>
      </c>
      <c r="AS50" s="224" t="e">
        <f>AR50*'Saisie immeuble'!$F$8+IF(AND(R50&lt;&gt;"gaz",(S50="gaz")),AA50,0)</f>
        <v>#N/A</v>
      </c>
      <c r="AT50" s="228">
        <f>IF('Saisie immeuble'!I47+'Saisie immeuble'!J47&gt;0,1100+700*('Saisie immeuble'!I47+'Saisie immeuble'!J47-1),0)</f>
        <v>0</v>
      </c>
      <c r="AU50" s="235" t="e">
        <f>IF(AW50="élec",Feuil1!V50,IF(AW50="gaz",Feuil1!AB50,IF(AW50="fioul",'Référence&amp;tarifs'!$B$25,IF(AW50="bois",('Référence&amp;tarifs'!$B$23+'Référence&amp;tarifs'!$B$24)/2,0))))</f>
        <v>#N/A</v>
      </c>
      <c r="AV50" s="184" t="e">
        <f>VLOOKUP('Saisie immeuble'!F47,Feuil1!$Q$57:$U$70,4,0)</f>
        <v>#N/A</v>
      </c>
      <c r="AW50" s="184" t="e">
        <f>VLOOKUP('Saisie immeuble'!F47,Feuil1!$Q$57:$U$70,5,0)</f>
        <v>#N/A</v>
      </c>
      <c r="AX50" s="233" t="e">
        <f t="shared" si="12"/>
        <v>#N/A</v>
      </c>
    </row>
    <row r="51" spans="2:50" x14ac:dyDescent="0.25">
      <c r="B51" s="228" t="s">
        <v>420</v>
      </c>
      <c r="C51" s="184">
        <f>IF('Saisie immeuble'!D48=Feuil1!$B$4,4,IF(AND('Saisie immeuble'!D48=$B$5,('Saisie immeuble'!$C$4=Feuil1!$C$5)),5,IF(AND('Saisie immeuble'!D48=$B$5,('Saisie immeuble'!$C$4=Feuil1!$C$6)),6,IF(AND('Saisie immeuble'!D48=Feuil1!$B$7,('Saisie immeuble'!$C$4=Feuil1!$C$7)),7,IF(AND('Saisie immeuble'!D48=Feuil1!$B$7,('Saisie immeuble'!$C$4=Feuil1!$C$8)),8,0)))))</f>
        <v>0</v>
      </c>
      <c r="D51" s="223" t="e">
        <f>HLOOKUP('Saisie immeuble'!$C$3,Feuil1!$D$1:$BM$8,Feuil1!C51,0)</f>
        <v>#VALUE!</v>
      </c>
      <c r="E51" s="184">
        <f>HLOOKUP('Saisie immeuble'!$C$3,Feuil1!$D$1:$BM$8,3,0)</f>
        <v>3</v>
      </c>
      <c r="F51" s="184">
        <f>IF(E51=1,450+'Saisie immeuble'!C48*6,IF(E51=2,300+'Saisie immeuble'!C48*5,150+'Saisie immeuble'!C48*3))</f>
        <v>150</v>
      </c>
      <c r="G51" s="184">
        <f>IF(E51=1,1400+'Saisie immeuble'!C48*6,IF(E51=2,1100+'Saisie immeuble'!C48*6,500+'Saisie immeuble'!C48*6))</f>
        <v>500</v>
      </c>
      <c r="H51" s="223">
        <f>IF('Saisie immeuble'!$C$6="oui",IF('Saisie immeuble'!D48="dernier étage",IF(Feuil1!E51=1,0.4*Feuil1!D51,IF(Feuil1!E51=2,0.35*Feuil1!D51,IF(Feuil1!E51=3,0.3*Feuil1!D51,0))),0),0)</f>
        <v>0</v>
      </c>
      <c r="I51" s="223" t="e">
        <f>IF('Saisie immeuble'!$C$7="oui",IF(AND(Feuil1!E51=1,('Saisie immeuble'!$C$4=Feuil1!$C$5)),0.3*Feuil1!D51,IF(AND(Feuil1!E51=1,('Saisie immeuble'!$C$4=Feuil1!$C$6)),0.2*Feuil1!D51,IF(AND(Feuil1!E51=2,('Saisie immeuble'!$C$4=Feuil1!$C$5)),0.25*Feuil1!D51,IF(AND(Feuil1!E51=2,('Saisie immeuble'!$C$4=Feuil1!$C$6)),0.15*Feuil1!D51,IF(AND(Feuil1!E51=3,('Saisie immeuble'!$C$4=Feuil1!$C$5)),0.2*Feuil1!D51,IF(AND(Feuil1!E51=3,('Saisie immeuble'!$C$4=Feuil1!$C$6)),0.12*Feuil1!D51)))))),0)</f>
        <v>#VALUE!</v>
      </c>
      <c r="J51" s="223" t="e">
        <f>IF('Saisie immeuble'!$C$8="oui",IF(AND(Feuil1!E51=1,('Saisie immeuble'!$C$4=Feuil1!$C$5)),0.22*Feuil1!D51,IF(AND(Feuil1!E51=1,('Saisie immeuble'!$C$4=Feuil1!$C$6)),0.14*Feuil1!D51,IF(AND(Feuil1!E51=2,('Saisie immeuble'!$C$4=Feuil1!$C$5)),0.2*Feuil1!D51,IF(AND(Feuil1!E51=2,('Saisie immeuble'!$C$4=Feuil1!$C$6)),0.12*Feuil1!D51,IF(AND(Feuil1!E51=3,('Saisie immeuble'!$C$4=Feuil1!$C$5)),0.16*Feuil1!D51,IF(AND(Feuil1!E51=3,('Saisie immeuble'!$C$4=Feuil1!$C$6)),0.1*Feuil1!D51)))))),0)</f>
        <v>#VALUE!</v>
      </c>
      <c r="K51" s="223">
        <f>IF('Saisie immeuble'!$F$7="oui",IF('Saisie immeuble'!D48="rez de chaussée",IF(Feuil1!E51=1,0.2*Feuil1!D51,IF(Feuil1!E51=2,0.16*Feuil1!D51,IF(Feuil1!E51=3,0.12*Feuil1!D51,0))),0),0)</f>
        <v>0</v>
      </c>
      <c r="L51" s="184">
        <f>IF('Saisie immeuble'!C48&gt;0,IF('Saisie immeuble'!C48&gt;57,('Saisie immeuble'!C48-57)*55,('Saisie immeuble'!C48-57)*35),0)</f>
        <v>0</v>
      </c>
      <c r="M51" s="184">
        <f>IF('Saisie immeuble'!C48&gt;0,IF('Saisie immeuble'!$H$7=Feuil1!$B$78,IF(Feuil1!E51=1,700,IF(Feuil1!E51=2,550,400)),IF('Saisie immeuble'!$H$7=Feuil1!$B$79,IF(Feuil1!E51=1,350,IF(Feuil1!E51=2,275,200)),0))*(1-((57-'Saisie immeuble'!C48)/100)),0)</f>
        <v>0</v>
      </c>
      <c r="N51" s="223" t="e">
        <f>D51-IF('Saisie immeuble'!G48=Feuil1!$B$68,Feuil1!F51,IF('Saisie immeuble'!G48=Feuil1!$B$69,G51,0))-H51-I51-J51+L51-K51+M51</f>
        <v>#VALUE!</v>
      </c>
      <c r="O51" s="237" t="e">
        <f t="shared" si="9"/>
        <v>#VALUE!</v>
      </c>
      <c r="P51" s="223" t="e">
        <f>IF('Saisie immeuble'!$C$5="individuel",N51/AJ51,O51/AJ51)</f>
        <v>#VALUE!</v>
      </c>
      <c r="Q51" s="224" t="e">
        <f t="shared" si="10"/>
        <v>#VALUE!</v>
      </c>
      <c r="R51" s="228" t="e">
        <f>VLOOKUP('Saisie immeuble'!E48,Feuil1!$G$58:$I$75,3,0)</f>
        <v>#N/A</v>
      </c>
      <c r="S51" s="184" t="e">
        <f>VLOOKUP('Saisie immeuble'!F48,Feuil1!$Q$57:$U$70,5,0)</f>
        <v>#N/A</v>
      </c>
      <c r="T51" s="184" t="e">
        <f>IF(AND(R51&lt;&gt;"élec",(S51&lt;&gt;"élec"),('Saisie immeuble'!C48&lt;40)),'Référence&amp;tarifs'!$A$6,IF(AND(R51="élec",(S51="élec")),'Référence&amp;tarifs'!$A$8,'Référence&amp;tarifs'!$A$7))</f>
        <v>#N/A</v>
      </c>
      <c r="U51" s="184" t="e">
        <f>VLOOKUP(T51,'Référence&amp;tarifs'!$A$6:$C$10,2,0)</f>
        <v>#N/A</v>
      </c>
      <c r="V51" s="184" t="e">
        <f>VLOOKUP(T51,'Référence&amp;tarifs'!$A$6:$C$10,3,0)</f>
        <v>#N/A</v>
      </c>
      <c r="W51" s="184"/>
      <c r="X51" s="236" t="e">
        <f>IF('Résultat immeuble'!T35&lt;1.1,HLOOKUP(Feuil1!T51,'Référence&amp;tarifs'!#REF!,2,0),IF('Résultat immeuble'!T35&gt;1.9,HLOOKUP(Feuil1!T51,'Référence&amp;tarifs'!#REF!,4,0),HLOOKUP(Feuil1!T51,'Référence&amp;tarifs'!#REF!,3,0)))</f>
        <v>#N/A</v>
      </c>
      <c r="Y51" s="228" t="e">
        <f>IF(R51="gaz",N51,0)+IF(S51="gaz",AT51,0)+IF('Saisie immeuble'!H48="gaz de ville",Feuil1!AH51,0)</f>
        <v>#N/A</v>
      </c>
      <c r="Z51" s="184" t="e">
        <f>IF(Y51&lt;1000,'Référence&amp;tarifs'!$A$16,IF(Y51&gt;5999,'Référence&amp;tarifs'!$A$18,'Référence&amp;tarifs'!$A$17))</f>
        <v>#N/A</v>
      </c>
      <c r="AA51" s="184" t="e">
        <f>VLOOKUP(Z51,'Référence&amp;tarifs'!$A$16:$C$18,2,0)</f>
        <v>#N/A</v>
      </c>
      <c r="AB51" s="184" t="e">
        <f>VLOOKUP(Z51,'Référence&amp;tarifs'!$A$16:$C$18,3,0)</f>
        <v>#N/A</v>
      </c>
      <c r="AC51" s="229" t="e">
        <f>IF('Saisie immeuble'!$C$5="individuel",IF('Résultat immeuble'!T35=1,HLOOKUP(Feuil1!Z51,'Référence&amp;tarifs'!#REF!,2,0),IF('Résultat immeuble'!T35&gt;1.9,HLOOKUP(Feuil1!Z51,'Référence&amp;tarifs'!#REF!,4,0),HLOOKUP(Feuil1!Z51,'Référence&amp;tarifs'!#REF!,3,0))),IF('Saisie immeuble'!$C$5="collectif",IF('Résultat immeuble'!T35=1,'Référence&amp;tarifs'!#REF!,IF('Résultat immeuble'!T35&gt;1.9,'Référence&amp;tarifs'!#REF!,IF(AND('Résultat immeuble'!T35&lt;2,('Résultat immeuble'!T35&gt;1)),'Référence&amp;tarifs'!#REF!,0)))))</f>
        <v>#N/A</v>
      </c>
      <c r="AD51" s="230">
        <f>IF('Saisie immeuble'!I48+'Saisie immeuble'!J48&gt;0,18*'Saisie immeuble'!C48+3.5*('Saisie immeuble'!I48+'Saisie immeuble'!J48-1)*'Saisie immeuble'!C48,0)</f>
        <v>0</v>
      </c>
      <c r="AE51" s="231"/>
      <c r="AF51" s="232"/>
      <c r="AG51" s="233" t="e">
        <f t="shared" si="11"/>
        <v>#N/A</v>
      </c>
      <c r="AH51" s="228">
        <f>IF('Saisie immeuble'!I48+'Saisie immeuble'!J48&gt;0,350+80*('Saisie immeuble'!I48+'Saisie immeuble'!J48-1),0)</f>
        <v>0</v>
      </c>
      <c r="AI51" s="233" t="e">
        <f>IF('Saisie immeuble'!H48="gaz de ville",Feuil1!AB51,IF('Saisie immeuble'!H48=$B$72,V51,0))*Feuil1!AH51+IF(AND(R51&lt;&gt;"gaz",(S51&lt;&gt;"gaz"),('Saisie immeuble'!H48="gaz de ville")),Feuil1!AA51,0)</f>
        <v>#N/A</v>
      </c>
      <c r="AJ51" s="228" t="e">
        <f>VLOOKUP('Saisie immeuble'!E48,Feuil1!$G$58:$I$75,2,0)</f>
        <v>#N/A</v>
      </c>
      <c r="AK51" s="184" t="e">
        <f>VLOOKUP('Saisie immeuble'!E48,Feuil1!$G$58:$I$75,3,0)</f>
        <v>#N/A</v>
      </c>
      <c r="AL51" s="234" t="e">
        <f>IF(AK51="élec",V51,IF(AK51="gaz",AB51,IF(AK51="fioul",'Référence&amp;tarifs'!$B$25,IF(AK51="bois buche",'Référence&amp;tarifs'!$B$23,IF(AK51="bois granulés",'Référence&amp;tarifs'!$B$24,IF(AK51=I95,0.8*('Référence&amp;tarifs'!$B$23+'Référence&amp;tarifs'!B53)/2+0.2*Feuil1!AB51,0))))))</f>
        <v>#N/A</v>
      </c>
      <c r="AM51" s="228">
        <f>IF('Saisie immeuble'!I48+'Saisie immeuble'!J48&gt;0,Feuil1!$AM$13+2*('Saisie immeuble'!I48+'Saisie immeuble'!J48-1),0)</f>
        <v>0</v>
      </c>
      <c r="AN51" s="184">
        <f>IF('Saisie immeuble'!I48+'Saisie immeuble'!J48&gt;0,Feuil1!$AN$13*('Saisie immeuble'!I48+'Saisie immeuble'!J48),0)</f>
        <v>0</v>
      </c>
      <c r="AO51" s="184">
        <f>IF('Saisie immeuble'!I48+'Saisie immeuble'!J48&gt;0,Feuil1!$AO$13+3*('Saisie immeuble'!I48+'Saisie immeuble'!J48-1),0)</f>
        <v>0</v>
      </c>
      <c r="AP51" s="184">
        <f>IF('Saisie immeuble'!I48+'Saisie immeuble'!J48&gt;0,Feuil1!$AP$13+2*('Saisie immeuble'!I48+'Saisie immeuble'!J48-1),0)</f>
        <v>0</v>
      </c>
      <c r="AQ51" s="184">
        <f>IF('Saisie immeuble'!I48+'Saisie immeuble'!J48&gt;0,Feuil1!$AQ$13*('Saisie immeuble'!I48+'Saisie immeuble'!J48),0)</f>
        <v>0</v>
      </c>
      <c r="AR51" s="184">
        <f t="shared" si="8"/>
        <v>0</v>
      </c>
      <c r="AS51" s="224" t="e">
        <f>AR51*'Saisie immeuble'!$F$8+IF(AND(R51&lt;&gt;"gaz",(S51="gaz")),AA51,0)</f>
        <v>#N/A</v>
      </c>
      <c r="AT51" s="228">
        <f>IF('Saisie immeuble'!I48+'Saisie immeuble'!J48&gt;0,1100+700*('Saisie immeuble'!I48+'Saisie immeuble'!J48-1),0)</f>
        <v>0</v>
      </c>
      <c r="AU51" s="235" t="e">
        <f>IF(AW51="élec",Feuil1!V51,IF(AW51="gaz",Feuil1!AB51,IF(AW51="fioul",'Référence&amp;tarifs'!$B$25,IF(AW51="bois",('Référence&amp;tarifs'!$B$23+'Référence&amp;tarifs'!$B$24)/2,0))))</f>
        <v>#N/A</v>
      </c>
      <c r="AV51" s="184" t="e">
        <f>VLOOKUP('Saisie immeuble'!F48,Feuil1!$Q$57:$U$70,4,0)</f>
        <v>#N/A</v>
      </c>
      <c r="AW51" s="184" t="e">
        <f>VLOOKUP('Saisie immeuble'!F48,Feuil1!$Q$57:$U$70,5,0)</f>
        <v>#N/A</v>
      </c>
      <c r="AX51" s="233" t="e">
        <f t="shared" si="12"/>
        <v>#N/A</v>
      </c>
    </row>
    <row r="52" spans="2:50" x14ac:dyDescent="0.25">
      <c r="B52" s="228" t="s">
        <v>421</v>
      </c>
      <c r="C52" s="184">
        <f>IF('Saisie immeuble'!D49=Feuil1!$B$4,4,IF(AND('Saisie immeuble'!D49=$B$5,('Saisie immeuble'!$C$4=Feuil1!$C$5)),5,IF(AND('Saisie immeuble'!D49=$B$5,('Saisie immeuble'!$C$4=Feuil1!$C$6)),6,IF(AND('Saisie immeuble'!D49=Feuil1!$B$7,('Saisie immeuble'!$C$4=Feuil1!$C$7)),7,IF(AND('Saisie immeuble'!D49=Feuil1!$B$7,('Saisie immeuble'!$C$4=Feuil1!$C$8)),8,0)))))</f>
        <v>0</v>
      </c>
      <c r="D52" s="223" t="e">
        <f>HLOOKUP('Saisie immeuble'!$C$3,Feuil1!$D$1:$BM$8,Feuil1!C52,0)</f>
        <v>#VALUE!</v>
      </c>
      <c r="E52" s="184">
        <f>HLOOKUP('Saisie immeuble'!$C$3,Feuil1!$D$1:$BM$8,3,0)</f>
        <v>3</v>
      </c>
      <c r="F52" s="184">
        <f>IF(E52=1,450+'Saisie immeuble'!C49*6,IF(E52=2,300+'Saisie immeuble'!C49*5,150+'Saisie immeuble'!C49*3))</f>
        <v>150</v>
      </c>
      <c r="G52" s="184">
        <f>IF(E52=1,1400+'Saisie immeuble'!C49*6,IF(E52=2,1100+'Saisie immeuble'!C49*6,500+'Saisie immeuble'!C49*6))</f>
        <v>500</v>
      </c>
      <c r="H52" s="223">
        <f>IF('Saisie immeuble'!$C$6="oui",IF('Saisie immeuble'!D49="dernier étage",IF(Feuil1!E52=1,0.4*Feuil1!D52,IF(Feuil1!E52=2,0.35*Feuil1!D52,IF(Feuil1!E52=3,0.3*Feuil1!D52,0))),0),0)</f>
        <v>0</v>
      </c>
      <c r="I52" s="223" t="e">
        <f>IF('Saisie immeuble'!$C$7="oui",IF(AND(Feuil1!E52=1,('Saisie immeuble'!$C$4=Feuil1!$C$5)),0.3*Feuil1!D52,IF(AND(Feuil1!E52=1,('Saisie immeuble'!$C$4=Feuil1!$C$6)),0.2*Feuil1!D52,IF(AND(Feuil1!E52=2,('Saisie immeuble'!$C$4=Feuil1!$C$5)),0.25*Feuil1!D52,IF(AND(Feuil1!E52=2,('Saisie immeuble'!$C$4=Feuil1!$C$6)),0.15*Feuil1!D52,IF(AND(Feuil1!E52=3,('Saisie immeuble'!$C$4=Feuil1!$C$5)),0.2*Feuil1!D52,IF(AND(Feuil1!E52=3,('Saisie immeuble'!$C$4=Feuil1!$C$6)),0.12*Feuil1!D52)))))),0)</f>
        <v>#VALUE!</v>
      </c>
      <c r="J52" s="223" t="e">
        <f>IF('Saisie immeuble'!$C$8="oui",IF(AND(Feuil1!E52=1,('Saisie immeuble'!$C$4=Feuil1!$C$5)),0.22*Feuil1!D52,IF(AND(Feuil1!E52=1,('Saisie immeuble'!$C$4=Feuil1!$C$6)),0.14*Feuil1!D52,IF(AND(Feuil1!E52=2,('Saisie immeuble'!$C$4=Feuil1!$C$5)),0.2*Feuil1!D52,IF(AND(Feuil1!E52=2,('Saisie immeuble'!$C$4=Feuil1!$C$6)),0.12*Feuil1!D52,IF(AND(Feuil1!E52=3,('Saisie immeuble'!$C$4=Feuil1!$C$5)),0.16*Feuil1!D52,IF(AND(Feuil1!E52=3,('Saisie immeuble'!$C$4=Feuil1!$C$6)),0.1*Feuil1!D52)))))),0)</f>
        <v>#VALUE!</v>
      </c>
      <c r="K52" s="223">
        <f>IF('Saisie immeuble'!$F$7="oui",IF('Saisie immeuble'!D49="rez de chaussée",IF(Feuil1!E52=1,0.2*Feuil1!D52,IF(Feuil1!E52=2,0.16*Feuil1!D52,IF(Feuil1!E52=3,0.12*Feuil1!D52,0))),0),0)</f>
        <v>0</v>
      </c>
      <c r="L52" s="184">
        <f>IF('Saisie immeuble'!C49&gt;0,IF('Saisie immeuble'!C49&gt;57,('Saisie immeuble'!C49-57)*55,('Saisie immeuble'!C49-57)*35),0)</f>
        <v>0</v>
      </c>
      <c r="M52" s="184">
        <f>IF('Saisie immeuble'!C49&gt;0,IF('Saisie immeuble'!$H$7=Feuil1!$B$78,IF(Feuil1!E52=1,700,IF(Feuil1!E52=2,550,400)),IF('Saisie immeuble'!$H$7=Feuil1!$B$79,IF(Feuil1!E52=1,350,IF(Feuil1!E52=2,275,200)),0))*(1-((57-'Saisie immeuble'!C49)/100)),0)</f>
        <v>0</v>
      </c>
      <c r="N52" s="223" t="e">
        <f>D52-IF('Saisie immeuble'!G49=Feuil1!$B$68,Feuil1!F52,IF('Saisie immeuble'!G49=Feuil1!$B$69,G52,0))-H52-I52-J52+L52-K52+M52</f>
        <v>#VALUE!</v>
      </c>
      <c r="O52" s="237" t="e">
        <f t="shared" si="9"/>
        <v>#VALUE!</v>
      </c>
      <c r="P52" s="223" t="e">
        <f>IF('Saisie immeuble'!$C$5="individuel",N52/AJ52,O52/AJ52)</f>
        <v>#VALUE!</v>
      </c>
      <c r="Q52" s="224" t="e">
        <f t="shared" si="10"/>
        <v>#VALUE!</v>
      </c>
      <c r="R52" s="228" t="e">
        <f>VLOOKUP('Saisie immeuble'!E49,Feuil1!$G$58:$I$75,3,0)</f>
        <v>#N/A</v>
      </c>
      <c r="S52" s="184" t="e">
        <f>VLOOKUP('Saisie immeuble'!F49,Feuil1!$Q$57:$U$70,5,0)</f>
        <v>#N/A</v>
      </c>
      <c r="T52" s="184" t="e">
        <f>IF(AND(R52&lt;&gt;"élec",(S52&lt;&gt;"élec"),('Saisie immeuble'!C49&lt;40)),'Référence&amp;tarifs'!$A$6,IF(AND(R52="élec",(S52="élec")),'Référence&amp;tarifs'!$A$8,'Référence&amp;tarifs'!$A$7))</f>
        <v>#N/A</v>
      </c>
      <c r="U52" s="184" t="e">
        <f>VLOOKUP(T52,'Référence&amp;tarifs'!$A$6:$C$10,2,0)</f>
        <v>#N/A</v>
      </c>
      <c r="V52" s="184" t="e">
        <f>VLOOKUP(T52,'Référence&amp;tarifs'!$A$6:$C$10,3,0)</f>
        <v>#N/A</v>
      </c>
      <c r="W52" s="184"/>
      <c r="X52" s="236" t="e">
        <f>IF('Résultat immeuble'!T36&lt;1.1,HLOOKUP(Feuil1!T52,'Référence&amp;tarifs'!#REF!,2,0),IF('Résultat immeuble'!T36&gt;1.9,HLOOKUP(Feuil1!T52,'Référence&amp;tarifs'!#REF!,4,0),HLOOKUP(Feuil1!T52,'Référence&amp;tarifs'!#REF!,3,0)))</f>
        <v>#N/A</v>
      </c>
      <c r="Y52" s="228" t="e">
        <f>IF(R52="gaz",N52,0)+IF(S52="gaz",AT52,0)+IF('Saisie immeuble'!H49="gaz de ville",Feuil1!AH52,0)</f>
        <v>#N/A</v>
      </c>
      <c r="Z52" s="184" t="e">
        <f>IF(Y52&lt;1000,'Référence&amp;tarifs'!$A$16,IF(Y52&gt;5999,'Référence&amp;tarifs'!$A$18,'Référence&amp;tarifs'!$A$17))</f>
        <v>#N/A</v>
      </c>
      <c r="AA52" s="184" t="e">
        <f>VLOOKUP(Z52,'Référence&amp;tarifs'!$A$16:$C$18,2,0)</f>
        <v>#N/A</v>
      </c>
      <c r="AB52" s="184" t="e">
        <f>VLOOKUP(Z52,'Référence&amp;tarifs'!$A$16:$C$18,3,0)</f>
        <v>#N/A</v>
      </c>
      <c r="AC52" s="229" t="e">
        <f>IF('Saisie immeuble'!$C$5="individuel",IF('Résultat immeuble'!T36=1,HLOOKUP(Feuil1!Z52,'Référence&amp;tarifs'!#REF!,2,0),IF('Résultat immeuble'!T36&gt;1.9,HLOOKUP(Feuil1!Z52,'Référence&amp;tarifs'!#REF!,4,0),HLOOKUP(Feuil1!Z52,'Référence&amp;tarifs'!#REF!,3,0))),IF('Saisie immeuble'!$C$5="collectif",IF('Résultat immeuble'!T36=1,'Référence&amp;tarifs'!#REF!,IF('Résultat immeuble'!T36&gt;1.9,'Référence&amp;tarifs'!#REF!,IF(AND('Résultat immeuble'!T36&lt;2,('Résultat immeuble'!T36&gt;1)),'Référence&amp;tarifs'!#REF!,0)))))</f>
        <v>#N/A</v>
      </c>
      <c r="AD52" s="230">
        <f>IF('Saisie immeuble'!I49+'Saisie immeuble'!J49&gt;0,18*'Saisie immeuble'!C49+3.5*('Saisie immeuble'!I49+'Saisie immeuble'!J49-1)*'Saisie immeuble'!C49,0)</f>
        <v>0</v>
      </c>
      <c r="AE52" s="231"/>
      <c r="AF52" s="232"/>
      <c r="AG52" s="233" t="e">
        <f t="shared" si="11"/>
        <v>#N/A</v>
      </c>
      <c r="AH52" s="228">
        <f>IF('Saisie immeuble'!I49+'Saisie immeuble'!J49&gt;0,350+80*('Saisie immeuble'!I49+'Saisie immeuble'!J49-1),0)</f>
        <v>0</v>
      </c>
      <c r="AI52" s="233" t="e">
        <f>IF('Saisie immeuble'!H49="gaz de ville",Feuil1!AB52,IF('Saisie immeuble'!H49=$B$72,V52,0))*Feuil1!AH52+IF(AND(R52&lt;&gt;"gaz",(S52&lt;&gt;"gaz"),('Saisie immeuble'!H49="gaz de ville")),Feuil1!AA52,0)</f>
        <v>#N/A</v>
      </c>
      <c r="AJ52" s="228" t="e">
        <f>VLOOKUP('Saisie immeuble'!E49,Feuil1!$G$58:$I$75,2,0)</f>
        <v>#N/A</v>
      </c>
      <c r="AK52" s="184" t="e">
        <f>VLOOKUP('Saisie immeuble'!E49,Feuil1!$G$58:$I$75,3,0)</f>
        <v>#N/A</v>
      </c>
      <c r="AL52" s="234" t="e">
        <f>IF(AK52="élec",V52,IF(AK52="gaz",AB52,IF(AK52="fioul",'Référence&amp;tarifs'!$B$25,IF(AK52="bois buche",'Référence&amp;tarifs'!$B$23,IF(AK52="bois granulés",'Référence&amp;tarifs'!$B$24,IF(AK52=I96,0.8*('Référence&amp;tarifs'!$B$23+'Référence&amp;tarifs'!B54)/2+0.2*Feuil1!AB52,0))))))</f>
        <v>#N/A</v>
      </c>
      <c r="AM52" s="228">
        <f>IF('Saisie immeuble'!I49+'Saisie immeuble'!J49&gt;0,Feuil1!$AM$13+2*('Saisie immeuble'!I49+'Saisie immeuble'!J49-1),0)</f>
        <v>0</v>
      </c>
      <c r="AN52" s="184">
        <f>IF('Saisie immeuble'!I49+'Saisie immeuble'!J49&gt;0,Feuil1!$AN$13*('Saisie immeuble'!I49+'Saisie immeuble'!J49),0)</f>
        <v>0</v>
      </c>
      <c r="AO52" s="184">
        <f>IF('Saisie immeuble'!I49+'Saisie immeuble'!J49&gt;0,Feuil1!$AO$13+3*('Saisie immeuble'!I49+'Saisie immeuble'!J49-1),0)</f>
        <v>0</v>
      </c>
      <c r="AP52" s="184">
        <f>IF('Saisie immeuble'!I49+'Saisie immeuble'!J49&gt;0,Feuil1!$AP$13+2*('Saisie immeuble'!I49+'Saisie immeuble'!J49-1),0)</f>
        <v>0</v>
      </c>
      <c r="AQ52" s="184">
        <f>IF('Saisie immeuble'!I49+'Saisie immeuble'!J49&gt;0,Feuil1!$AQ$13*('Saisie immeuble'!I49+'Saisie immeuble'!J49),0)</f>
        <v>0</v>
      </c>
      <c r="AR52" s="184">
        <f t="shared" si="8"/>
        <v>0</v>
      </c>
      <c r="AS52" s="224" t="e">
        <f>AR52*'Saisie immeuble'!$F$8+IF(AND(R52&lt;&gt;"gaz",(S52="gaz")),AA52,0)</f>
        <v>#N/A</v>
      </c>
      <c r="AT52" s="228">
        <f>IF('Saisie immeuble'!I49+'Saisie immeuble'!J49&gt;0,1100+700*('Saisie immeuble'!I49+'Saisie immeuble'!J49-1),0)</f>
        <v>0</v>
      </c>
      <c r="AU52" s="235" t="e">
        <f>IF(AW52="élec",Feuil1!V52,IF(AW52="gaz",Feuil1!AB52,IF(AW52="fioul",'Référence&amp;tarifs'!$B$25,IF(AW52="bois",('Référence&amp;tarifs'!$B$23+'Référence&amp;tarifs'!$B$24)/2,0))))</f>
        <v>#N/A</v>
      </c>
      <c r="AV52" s="184" t="e">
        <f>VLOOKUP('Saisie immeuble'!F49,Feuil1!$Q$57:$U$70,4,0)</f>
        <v>#N/A</v>
      </c>
      <c r="AW52" s="184" t="e">
        <f>VLOOKUP('Saisie immeuble'!F49,Feuil1!$Q$57:$U$70,5,0)</f>
        <v>#N/A</v>
      </c>
      <c r="AX52" s="233" t="e">
        <f t="shared" si="12"/>
        <v>#N/A</v>
      </c>
    </row>
    <row r="53" spans="2:50" x14ac:dyDescent="0.25">
      <c r="B53" s="238" t="s">
        <v>422</v>
      </c>
      <c r="C53" s="184">
        <f>IF('Saisie immeuble'!D50=Feuil1!$B$4,4,IF(AND('Saisie immeuble'!D50=$B$5,('Saisie immeuble'!$C$4=Feuil1!$C$5)),5,IF(AND('Saisie immeuble'!D50=$B$5,('Saisie immeuble'!$C$4=Feuil1!$C$6)),6,IF(AND('Saisie immeuble'!D50=Feuil1!$B$7,('Saisie immeuble'!$C$4=Feuil1!$C$7)),7,IF(AND('Saisie immeuble'!D50=Feuil1!$B$7,('Saisie immeuble'!$C$4=Feuil1!$C$8)),8,0)))))</f>
        <v>0</v>
      </c>
      <c r="D53" s="223" t="e">
        <f>HLOOKUP('Saisie immeuble'!$C$3,Feuil1!$D$1:$BM$8,Feuil1!C53,0)</f>
        <v>#VALUE!</v>
      </c>
      <c r="E53" s="184">
        <f>HLOOKUP('Saisie immeuble'!$C$3,Feuil1!$D$1:$BM$8,3,0)</f>
        <v>3</v>
      </c>
      <c r="F53" s="184">
        <f>IF(E53=1,450+'Saisie immeuble'!C50*6,IF(E53=2,300+'Saisie immeuble'!C50*5,150+'Saisie immeuble'!C50*3))</f>
        <v>150</v>
      </c>
      <c r="G53" s="184">
        <f>IF(E53=1,1400+'Saisie immeuble'!C50*6,IF(E53=2,1100+'Saisie immeuble'!C50*6,500+'Saisie immeuble'!C50*6))</f>
        <v>500</v>
      </c>
      <c r="H53" s="223">
        <f>IF('Saisie immeuble'!$C$6="oui",IF('Saisie immeuble'!D50="dernier étage",IF(Feuil1!E53=1,0.4*Feuil1!D53,IF(Feuil1!E53=2,0.35*Feuil1!D53,IF(Feuil1!E53=3,0.3*Feuil1!D53,0))),0),0)</f>
        <v>0</v>
      </c>
      <c r="I53" s="223" t="e">
        <f>IF('Saisie immeuble'!$C$7="oui",IF(AND(Feuil1!E53=1,('Saisie immeuble'!$C$4=Feuil1!$C$5)),0.3*Feuil1!D53,IF(AND(Feuil1!E53=1,('Saisie immeuble'!$C$4=Feuil1!$C$6)),0.2*Feuil1!D53,IF(AND(Feuil1!E53=2,('Saisie immeuble'!$C$4=Feuil1!$C$5)),0.25*Feuil1!D53,IF(AND(Feuil1!E53=2,('Saisie immeuble'!$C$4=Feuil1!$C$6)),0.15*Feuil1!D53,IF(AND(Feuil1!E53=3,('Saisie immeuble'!$C$4=Feuil1!$C$5)),0.2*Feuil1!D53,IF(AND(Feuil1!E53=3,('Saisie immeuble'!$C$4=Feuil1!$C$6)),0.12*Feuil1!D53)))))),0)</f>
        <v>#VALUE!</v>
      </c>
      <c r="J53" s="223" t="e">
        <f>IF('Saisie immeuble'!$C$8="oui",IF(AND(Feuil1!E53=1,('Saisie immeuble'!$C$4=Feuil1!$C$5)),0.22*Feuil1!D53,IF(AND(Feuil1!E53=1,('Saisie immeuble'!$C$4=Feuil1!$C$6)),0.14*Feuil1!D53,IF(AND(Feuil1!E53=2,('Saisie immeuble'!$C$4=Feuil1!$C$5)),0.2*Feuil1!D53,IF(AND(Feuil1!E53=2,('Saisie immeuble'!$C$4=Feuil1!$C$6)),0.12*Feuil1!D53,IF(AND(Feuil1!E53=3,('Saisie immeuble'!$C$4=Feuil1!$C$5)),0.16*Feuil1!D53,IF(AND(Feuil1!E53=3,('Saisie immeuble'!$C$4=Feuil1!$C$6)),0.1*Feuil1!D53)))))),0)</f>
        <v>#VALUE!</v>
      </c>
      <c r="K53" s="223">
        <f>IF('Saisie immeuble'!$F$7="oui",IF('Saisie immeuble'!D50="rez de chaussée",IF(Feuil1!E53=1,0.2*Feuil1!D53,IF(Feuil1!E53=2,0.16*Feuil1!D53,IF(Feuil1!E53=3,0.12*Feuil1!D53,0))),0),0)</f>
        <v>0</v>
      </c>
      <c r="L53" s="184">
        <f>IF('Saisie immeuble'!C50&gt;0,IF('Saisie immeuble'!C50&gt;57,('Saisie immeuble'!C50-57)*55,('Saisie immeuble'!C50-57)*35),0)</f>
        <v>0</v>
      </c>
      <c r="M53" s="184">
        <f>IF('Saisie immeuble'!C50&gt;0,IF('Saisie immeuble'!$H$7=Feuil1!$B$78,IF(Feuil1!E53=1,700,IF(Feuil1!E53=2,550,400)),IF('Saisie immeuble'!$H$7=Feuil1!$B$79,IF(Feuil1!E53=1,350,IF(Feuil1!E53=2,275,200)),0))*(1-((57-'Saisie immeuble'!C50)/100)),0)</f>
        <v>0</v>
      </c>
      <c r="N53" s="223" t="e">
        <f>D53-IF('Saisie immeuble'!G50=Feuil1!$B$68,Feuil1!F53,IF('Saisie immeuble'!G50=Feuil1!$B$69,G53,0))-H53-I53-J53+L53-K53+M53</f>
        <v>#VALUE!</v>
      </c>
      <c r="O53" s="237" t="e">
        <f t="shared" si="9"/>
        <v>#VALUE!</v>
      </c>
      <c r="P53" s="223" t="e">
        <f>IF('Saisie immeuble'!$C$5="individuel",N53/AJ53,O53/AJ53)</f>
        <v>#VALUE!</v>
      </c>
      <c r="Q53" s="224" t="e">
        <f t="shared" si="10"/>
        <v>#VALUE!</v>
      </c>
      <c r="R53" s="228" t="e">
        <f>VLOOKUP('Saisie immeuble'!E50,Feuil1!$G$58:$I$75,3,0)</f>
        <v>#N/A</v>
      </c>
      <c r="S53" s="184" t="e">
        <f>VLOOKUP('Saisie immeuble'!F50,Feuil1!$Q$57:$U$70,5,0)</f>
        <v>#N/A</v>
      </c>
      <c r="T53" s="184" t="e">
        <f>IF(AND(R53&lt;&gt;"élec",(S53&lt;&gt;"élec"),('Saisie immeuble'!C50&lt;40)),'Référence&amp;tarifs'!$A$6,IF(AND(R53="élec",(S53="élec")),'Référence&amp;tarifs'!$A$8,'Référence&amp;tarifs'!$A$7))</f>
        <v>#N/A</v>
      </c>
      <c r="U53" s="184" t="e">
        <f>VLOOKUP(T53,'Référence&amp;tarifs'!$A$6:$C$10,2,0)</f>
        <v>#N/A</v>
      </c>
      <c r="V53" s="184" t="e">
        <f>VLOOKUP(T53,'Référence&amp;tarifs'!$A$6:$C$10,3,0)</f>
        <v>#N/A</v>
      </c>
      <c r="W53" s="239"/>
      <c r="X53" s="236" t="e">
        <f>IF('Résultat immeuble'!T37&lt;1.1,HLOOKUP(Feuil1!T53,'Référence&amp;tarifs'!#REF!,2,0),IF('Résultat immeuble'!T37&gt;1.9,HLOOKUP(Feuil1!T53,'Référence&amp;tarifs'!#REF!,4,0),HLOOKUP(Feuil1!T53,'Référence&amp;tarifs'!#REF!,3,0)))</f>
        <v>#N/A</v>
      </c>
      <c r="Y53" s="228" t="e">
        <f>IF(R53="gaz",N53,0)+IF(S53="gaz",AT53,0)+IF('Saisie immeuble'!H50="gaz de ville",Feuil1!AH53,0)</f>
        <v>#N/A</v>
      </c>
      <c r="Z53" s="184" t="e">
        <f>IF(Y53&lt;1000,'Référence&amp;tarifs'!$A$16,IF(Y53&gt;5999,'Référence&amp;tarifs'!$A$18,'Référence&amp;tarifs'!$A$17))</f>
        <v>#N/A</v>
      </c>
      <c r="AA53" s="184" t="e">
        <f>VLOOKUP(Z53,'Référence&amp;tarifs'!$A$16:$C$18,2,0)</f>
        <v>#N/A</v>
      </c>
      <c r="AB53" s="184" t="e">
        <f>VLOOKUP(Z53,'Référence&amp;tarifs'!$A$16:$C$18,3,0)</f>
        <v>#N/A</v>
      </c>
      <c r="AC53" s="229" t="e">
        <f>IF('Saisie immeuble'!$C$5="individuel",IF('Résultat immeuble'!T37=1,HLOOKUP(Feuil1!Z53,'Référence&amp;tarifs'!#REF!,2,0),IF('Résultat immeuble'!T37&gt;1.9,HLOOKUP(Feuil1!Z53,'Référence&amp;tarifs'!#REF!,4,0),HLOOKUP(Feuil1!Z53,'Référence&amp;tarifs'!#REF!,3,0))),IF('Saisie immeuble'!$C$5="collectif",IF('Résultat immeuble'!T37=1,'Référence&amp;tarifs'!#REF!,IF('Résultat immeuble'!T37&gt;1.9,'Référence&amp;tarifs'!#REF!,IF(AND('Résultat immeuble'!T37&lt;2,('Résultat immeuble'!T37&gt;1)),'Référence&amp;tarifs'!#REF!,0)))))</f>
        <v>#N/A</v>
      </c>
      <c r="AD53" s="230">
        <f>IF('Saisie immeuble'!I50+'Saisie immeuble'!J50&gt;0,18*'Saisie immeuble'!C50+3.5*('Saisie immeuble'!I50+'Saisie immeuble'!J50-1)*'Saisie immeuble'!C50,0)</f>
        <v>0</v>
      </c>
      <c r="AE53" s="231"/>
      <c r="AF53" s="232"/>
      <c r="AG53" s="233" t="e">
        <f t="shared" si="11"/>
        <v>#N/A</v>
      </c>
      <c r="AH53" s="228">
        <f>IF('Saisie immeuble'!I50+'Saisie immeuble'!J50&gt;0,350+80*('Saisie immeuble'!I50+'Saisie immeuble'!J50-1),0)</f>
        <v>0</v>
      </c>
      <c r="AI53" s="233" t="e">
        <f>IF('Saisie immeuble'!H50="gaz de ville",Feuil1!AB53,IF('Saisie immeuble'!H50=$B$72,V53,0))*Feuil1!AH53+IF(AND(R53&lt;&gt;"gaz",(S53&lt;&gt;"gaz"),('Saisie immeuble'!H50="gaz de ville")),Feuil1!AA53,0)</f>
        <v>#N/A</v>
      </c>
      <c r="AJ53" s="228" t="e">
        <f>VLOOKUP('Saisie immeuble'!E50,Feuil1!$G$58:$I$75,2,0)</f>
        <v>#N/A</v>
      </c>
      <c r="AK53" s="184" t="e">
        <f>VLOOKUP('Saisie immeuble'!E50,Feuil1!$G$58:$I$75,3,0)</f>
        <v>#N/A</v>
      </c>
      <c r="AL53" s="234" t="e">
        <f>IF(AK53="élec",V53,IF(AK53="gaz",AB53,IF(AK53="fioul",'Référence&amp;tarifs'!$B$25,IF(AK53="bois buche",'Référence&amp;tarifs'!$B$23,IF(AK53="bois granulés",'Référence&amp;tarifs'!$B$24,IF(AK53=I97,0.8*('Référence&amp;tarifs'!$B$23+'Référence&amp;tarifs'!B55)/2+0.2*Feuil1!AB53,0))))))</f>
        <v>#N/A</v>
      </c>
      <c r="AM53" s="228">
        <f>IF('Saisie immeuble'!I50+'Saisie immeuble'!J50&gt;0,Feuil1!$AM$13+2*('Saisie immeuble'!I50+'Saisie immeuble'!J50-1),0)</f>
        <v>0</v>
      </c>
      <c r="AN53" s="184">
        <f>IF('Saisie immeuble'!I50+'Saisie immeuble'!J50&gt;0,Feuil1!$AN$13*('Saisie immeuble'!I50+'Saisie immeuble'!J50),0)</f>
        <v>0</v>
      </c>
      <c r="AO53" s="184">
        <f>IF('Saisie immeuble'!I50+'Saisie immeuble'!J50&gt;0,Feuil1!$AO$13+3*('Saisie immeuble'!I50+'Saisie immeuble'!J50-1),0)</f>
        <v>0</v>
      </c>
      <c r="AP53" s="184">
        <f>IF('Saisie immeuble'!I50+'Saisie immeuble'!J50&gt;0,Feuil1!$AP$13+2*('Saisie immeuble'!I50+'Saisie immeuble'!J50-1),0)</f>
        <v>0</v>
      </c>
      <c r="AQ53" s="184">
        <f>IF('Saisie immeuble'!I50+'Saisie immeuble'!J50&gt;0,Feuil1!$AQ$13*('Saisie immeuble'!I50+'Saisie immeuble'!J50),0)</f>
        <v>0</v>
      </c>
      <c r="AR53" s="184">
        <f t="shared" si="8"/>
        <v>0</v>
      </c>
      <c r="AS53" s="224" t="e">
        <f>AR53*'Saisie immeuble'!$F$8+IF(AND(R53&lt;&gt;"gaz",(S53="gaz")),AA53,0)</f>
        <v>#N/A</v>
      </c>
      <c r="AT53" s="228">
        <f>IF('Saisie immeuble'!I50+'Saisie immeuble'!J50&gt;0,1100+700*('Saisie immeuble'!I50+'Saisie immeuble'!J50-1),0)</f>
        <v>0</v>
      </c>
      <c r="AU53" s="235" t="e">
        <f>IF(AW53="élec",Feuil1!V53,IF(AW53="gaz",Feuil1!AB53,IF(AW53="fioul",'Référence&amp;tarifs'!$B$25,IF(AW53="bois",('Référence&amp;tarifs'!$B$23+'Référence&amp;tarifs'!$B$24)/2,0))))</f>
        <v>#N/A</v>
      </c>
      <c r="AV53" s="184" t="e">
        <f>VLOOKUP('Saisie immeuble'!F50,Feuil1!$Q$57:$U$70,4,0)</f>
        <v>#N/A</v>
      </c>
      <c r="AW53" s="184" t="e">
        <f>VLOOKUP('Saisie immeuble'!F50,Feuil1!$Q$57:$U$70,5,0)</f>
        <v>#N/A</v>
      </c>
      <c r="AX53" s="233" t="e">
        <f t="shared" si="12"/>
        <v>#N/A</v>
      </c>
    </row>
    <row r="56" spans="2:50" x14ac:dyDescent="0.25">
      <c r="T56" s="125" t="s">
        <v>232</v>
      </c>
      <c r="U56" s="125" t="s">
        <v>233</v>
      </c>
    </row>
    <row r="57" spans="2:50" ht="15" customHeight="1" x14ac:dyDescent="0.25">
      <c r="B57" s="21" t="s">
        <v>58</v>
      </c>
      <c r="D57" s="21" t="s">
        <v>423</v>
      </c>
      <c r="G57" s="240" t="s">
        <v>277</v>
      </c>
      <c r="H57" s="291" t="s">
        <v>278</v>
      </c>
      <c r="I57" s="291"/>
      <c r="J57" s="86"/>
      <c r="K57" s="241"/>
      <c r="L57" s="314"/>
      <c r="M57" s="314"/>
      <c r="N57" s="86"/>
      <c r="P57" s="315" t="s">
        <v>424</v>
      </c>
      <c r="Q57" s="243" t="s">
        <v>238</v>
      </c>
      <c r="R57" s="244"/>
      <c r="S57" s="245"/>
      <c r="T57" s="85">
        <v>2</v>
      </c>
      <c r="U57" s="85" t="s">
        <v>239</v>
      </c>
    </row>
    <row r="58" spans="2:50" x14ac:dyDescent="0.25">
      <c r="B58" s="21" t="s">
        <v>246</v>
      </c>
      <c r="D58" s="21" t="s">
        <v>425</v>
      </c>
      <c r="G58" s="246" t="s">
        <v>281</v>
      </c>
      <c r="H58" s="240">
        <v>0.8</v>
      </c>
      <c r="I58" s="85" t="s">
        <v>426</v>
      </c>
      <c r="J58" s="15"/>
      <c r="K58" s="247"/>
      <c r="L58" s="314"/>
      <c r="M58" s="314"/>
      <c r="N58" s="86"/>
      <c r="P58" s="315"/>
      <c r="Q58" s="243" t="s">
        <v>241</v>
      </c>
      <c r="R58" s="244"/>
      <c r="S58" s="245"/>
      <c r="T58" s="85">
        <f>1/0.45</f>
        <v>2.2222222222222223</v>
      </c>
      <c r="U58" s="85" t="s">
        <v>427</v>
      </c>
    </row>
    <row r="59" spans="2:50" ht="15" customHeight="1" x14ac:dyDescent="0.25">
      <c r="B59" s="21"/>
      <c r="D59" s="21" t="s">
        <v>428</v>
      </c>
      <c r="G59" s="246" t="s">
        <v>285</v>
      </c>
      <c r="H59" s="240">
        <v>0.85</v>
      </c>
      <c r="I59" s="85" t="s">
        <v>429</v>
      </c>
      <c r="J59" s="15"/>
      <c r="K59" s="247"/>
      <c r="L59" s="314"/>
      <c r="M59" s="314"/>
      <c r="N59" s="86"/>
      <c r="P59" s="315"/>
      <c r="Q59" s="243" t="s">
        <v>244</v>
      </c>
      <c r="R59" s="244"/>
      <c r="S59" s="245"/>
      <c r="T59" s="85">
        <f>1/0.45</f>
        <v>2.2222222222222223</v>
      </c>
      <c r="U59" s="85" t="s">
        <v>239</v>
      </c>
    </row>
    <row r="60" spans="2:50" ht="15" customHeight="1" x14ac:dyDescent="0.25">
      <c r="B60" s="131" t="s">
        <v>170</v>
      </c>
      <c r="D60" s="21" t="s">
        <v>430</v>
      </c>
      <c r="G60" s="246" t="s">
        <v>287</v>
      </c>
      <c r="H60" s="240">
        <v>0.8</v>
      </c>
      <c r="I60" s="85" t="s">
        <v>258</v>
      </c>
      <c r="J60" s="15"/>
      <c r="K60" s="247"/>
      <c r="L60" s="314"/>
      <c r="M60" s="314"/>
      <c r="N60" s="86"/>
      <c r="P60" s="315"/>
      <c r="Q60" s="243" t="s">
        <v>247</v>
      </c>
      <c r="R60" s="244"/>
      <c r="S60" s="245"/>
      <c r="T60" s="85">
        <f>1/0.45</f>
        <v>2.2222222222222223</v>
      </c>
      <c r="U60" s="85" t="s">
        <v>258</v>
      </c>
    </row>
    <row r="61" spans="2:50" ht="15" customHeight="1" x14ac:dyDescent="0.25">
      <c r="B61" s="131" t="s">
        <v>50</v>
      </c>
      <c r="D61" s="21" t="s">
        <v>431</v>
      </c>
      <c r="G61" s="246" t="s">
        <v>290</v>
      </c>
      <c r="H61" s="240">
        <v>0.85</v>
      </c>
      <c r="I61" s="85" t="s">
        <v>258</v>
      </c>
      <c r="J61" s="15"/>
      <c r="K61" s="247"/>
      <c r="L61" s="314"/>
      <c r="M61" s="314"/>
      <c r="N61" s="86"/>
      <c r="P61" s="315"/>
      <c r="Q61" s="243" t="s">
        <v>249</v>
      </c>
      <c r="R61" s="244"/>
      <c r="S61" s="245"/>
      <c r="T61" s="85">
        <f>1/0.45</f>
        <v>2.2222222222222223</v>
      </c>
      <c r="U61" s="85" t="s">
        <v>261</v>
      </c>
    </row>
    <row r="62" spans="2:50" ht="15" customHeight="1" x14ac:dyDescent="0.25">
      <c r="B62" s="21"/>
      <c r="G62" s="246" t="s">
        <v>293</v>
      </c>
      <c r="H62" s="240">
        <v>0.7</v>
      </c>
      <c r="I62" s="85" t="s">
        <v>258</v>
      </c>
      <c r="J62" s="15"/>
      <c r="K62" s="247"/>
      <c r="L62" s="242"/>
      <c r="M62" s="242"/>
      <c r="N62" s="86"/>
      <c r="P62" s="315"/>
      <c r="Q62" s="112" t="s">
        <v>252</v>
      </c>
      <c r="R62" s="244"/>
      <c r="S62" s="245"/>
      <c r="T62" s="85">
        <v>0.6</v>
      </c>
      <c r="U62" s="85" t="s">
        <v>239</v>
      </c>
    </row>
    <row r="63" spans="2:50" ht="15" customHeight="1" x14ac:dyDescent="0.25">
      <c r="B63" s="21" t="s">
        <v>56</v>
      </c>
      <c r="G63" s="246" t="s">
        <v>295</v>
      </c>
      <c r="H63" s="240">
        <v>0.8</v>
      </c>
      <c r="I63" s="85" t="s">
        <v>261</v>
      </c>
      <c r="J63" s="15"/>
      <c r="K63" s="247"/>
      <c r="L63" s="242"/>
      <c r="M63" s="242"/>
      <c r="N63" s="86"/>
      <c r="P63" s="315"/>
      <c r="Q63" s="85" t="s">
        <v>254</v>
      </c>
      <c r="R63" s="244"/>
      <c r="S63" s="245"/>
      <c r="T63" s="85">
        <v>0.67</v>
      </c>
      <c r="U63" s="85" t="s">
        <v>239</v>
      </c>
    </row>
    <row r="64" spans="2:50" x14ac:dyDescent="0.25">
      <c r="B64" s="21" t="s">
        <v>46</v>
      </c>
      <c r="G64" s="246" t="s">
        <v>297</v>
      </c>
      <c r="H64" s="240">
        <v>0.9</v>
      </c>
      <c r="I64" s="85" t="s">
        <v>261</v>
      </c>
      <c r="J64" s="15"/>
      <c r="K64" s="247"/>
      <c r="L64" s="314"/>
      <c r="M64" s="314"/>
      <c r="N64" s="86"/>
      <c r="P64" s="315"/>
      <c r="Q64" s="85" t="s">
        <v>87</v>
      </c>
      <c r="R64" s="244"/>
      <c r="S64" s="245"/>
      <c r="T64" s="85">
        <v>0.72</v>
      </c>
      <c r="U64" s="85" t="s">
        <v>239</v>
      </c>
    </row>
    <row r="65" spans="2:21" x14ac:dyDescent="0.25">
      <c r="B65" s="21"/>
      <c r="G65" s="246" t="s">
        <v>299</v>
      </c>
      <c r="H65" s="240">
        <v>0.72</v>
      </c>
      <c r="I65" s="85" t="s">
        <v>261</v>
      </c>
      <c r="J65" s="15"/>
      <c r="K65" s="247"/>
      <c r="L65" s="314"/>
      <c r="M65" s="314"/>
      <c r="N65" s="86"/>
      <c r="P65" s="315"/>
      <c r="Q65" s="243" t="s">
        <v>258</v>
      </c>
      <c r="R65" s="244"/>
      <c r="S65" s="245"/>
      <c r="T65" s="85">
        <v>0.8</v>
      </c>
      <c r="U65" s="85" t="s">
        <v>258</v>
      </c>
    </row>
    <row r="66" spans="2:21" x14ac:dyDescent="0.25">
      <c r="B66" s="21"/>
      <c r="G66" s="246" t="s">
        <v>301</v>
      </c>
      <c r="H66" s="240">
        <v>0.8</v>
      </c>
      <c r="I66" s="85" t="s">
        <v>432</v>
      </c>
      <c r="J66" s="15"/>
      <c r="K66" s="247"/>
      <c r="L66" s="314"/>
      <c r="M66" s="314"/>
      <c r="N66" s="86"/>
      <c r="P66" s="315"/>
      <c r="Q66" s="243" t="s">
        <v>260</v>
      </c>
      <c r="R66" s="244"/>
      <c r="S66" s="245"/>
      <c r="T66" s="85">
        <v>0.8</v>
      </c>
      <c r="U66" s="85" t="s">
        <v>261</v>
      </c>
    </row>
    <row r="67" spans="2:21" x14ac:dyDescent="0.25">
      <c r="B67" s="21" t="s">
        <v>276</v>
      </c>
      <c r="G67" s="246" t="s">
        <v>303</v>
      </c>
      <c r="H67" s="240">
        <v>1.5</v>
      </c>
      <c r="I67" s="85" t="s">
        <v>239</v>
      </c>
      <c r="J67" s="15"/>
      <c r="K67" s="247"/>
      <c r="L67" s="314"/>
      <c r="M67" s="314"/>
      <c r="N67" s="86"/>
      <c r="P67" s="315"/>
      <c r="Q67" s="243" t="s">
        <v>263</v>
      </c>
      <c r="R67" s="244"/>
      <c r="S67" s="245"/>
      <c r="T67" s="85">
        <f>1/0.35</f>
        <v>2.8571428571428572</v>
      </c>
      <c r="U67" s="85" t="s">
        <v>427</v>
      </c>
    </row>
    <row r="68" spans="2:21" x14ac:dyDescent="0.25">
      <c r="B68" s="21" t="s">
        <v>280</v>
      </c>
      <c r="G68" s="246" t="s">
        <v>305</v>
      </c>
      <c r="H68" s="240">
        <v>2.1</v>
      </c>
      <c r="I68" s="85" t="s">
        <v>239</v>
      </c>
      <c r="J68" s="15"/>
      <c r="K68" s="247"/>
      <c r="L68" s="314"/>
      <c r="M68" s="314"/>
      <c r="N68" s="86"/>
      <c r="P68" s="315"/>
      <c r="Q68" s="243" t="s">
        <v>267</v>
      </c>
      <c r="R68" s="244"/>
      <c r="S68" s="245"/>
      <c r="T68" s="85">
        <f>1/0.35</f>
        <v>2.8571428571428572</v>
      </c>
      <c r="U68" s="85" t="s">
        <v>239</v>
      </c>
    </row>
    <row r="69" spans="2:21" x14ac:dyDescent="0.25">
      <c r="B69" s="21" t="s">
        <v>284</v>
      </c>
      <c r="G69" s="246" t="s">
        <v>307</v>
      </c>
      <c r="H69" s="240">
        <v>2</v>
      </c>
      <c r="I69" s="85" t="s">
        <v>239</v>
      </c>
      <c r="J69" s="15"/>
      <c r="K69" s="247"/>
      <c r="L69" s="314"/>
      <c r="M69" s="314"/>
      <c r="N69" s="86"/>
      <c r="P69" s="315"/>
      <c r="Q69" s="243" t="s">
        <v>269</v>
      </c>
      <c r="R69" s="244"/>
      <c r="S69" s="245"/>
      <c r="T69" s="85">
        <f>1/0.35</f>
        <v>2.8571428571428572</v>
      </c>
      <c r="U69" s="85" t="s">
        <v>258</v>
      </c>
    </row>
    <row r="70" spans="2:21" x14ac:dyDescent="0.25">
      <c r="B70" s="21"/>
      <c r="G70" s="246" t="s">
        <v>309</v>
      </c>
      <c r="H70" s="240">
        <v>1.6</v>
      </c>
      <c r="I70" s="85" t="s">
        <v>239</v>
      </c>
      <c r="J70" s="15"/>
      <c r="K70" s="247"/>
      <c r="L70" s="314"/>
      <c r="M70" s="314"/>
      <c r="N70" s="86"/>
      <c r="P70" s="315"/>
      <c r="Q70" s="243" t="s">
        <v>272</v>
      </c>
      <c r="R70" s="244"/>
      <c r="S70" s="245"/>
      <c r="T70" s="85">
        <f>1/0.35</f>
        <v>2.8571428571428572</v>
      </c>
      <c r="U70" s="85" t="s">
        <v>261</v>
      </c>
    </row>
    <row r="71" spans="2:21" x14ac:dyDescent="0.25">
      <c r="B71" s="21" t="s">
        <v>289</v>
      </c>
      <c r="G71" s="246" t="s">
        <v>433</v>
      </c>
      <c r="H71" s="240">
        <v>0.95</v>
      </c>
      <c r="I71" s="85" t="s">
        <v>239</v>
      </c>
      <c r="J71" s="15"/>
      <c r="K71" s="247"/>
      <c r="L71" s="314"/>
      <c r="M71" s="314"/>
      <c r="N71" s="86"/>
    </row>
    <row r="72" spans="2:21" x14ac:dyDescent="0.25">
      <c r="B72" s="21" t="s">
        <v>89</v>
      </c>
      <c r="G72" s="246" t="s">
        <v>313</v>
      </c>
      <c r="H72" s="240">
        <v>0.85</v>
      </c>
      <c r="I72" s="85" t="s">
        <v>426</v>
      </c>
      <c r="J72" s="15"/>
      <c r="K72" s="247"/>
      <c r="L72" s="314"/>
      <c r="M72" s="314"/>
      <c r="N72" s="86"/>
    </row>
    <row r="73" spans="2:21" x14ac:dyDescent="0.25">
      <c r="D73" t="s">
        <v>355</v>
      </c>
      <c r="G73" s="246" t="s">
        <v>315</v>
      </c>
      <c r="H73" s="240">
        <v>0.9</v>
      </c>
      <c r="I73" s="85" t="s">
        <v>429</v>
      </c>
      <c r="J73" s="15"/>
      <c r="K73" s="247"/>
      <c r="L73" s="314"/>
      <c r="M73" s="314"/>
      <c r="N73" s="86"/>
    </row>
    <row r="74" spans="2:21" x14ac:dyDescent="0.25">
      <c r="D74" t="s">
        <v>383</v>
      </c>
      <c r="G74" s="246" t="s">
        <v>317</v>
      </c>
      <c r="H74" s="240">
        <v>0.9</v>
      </c>
      <c r="I74" s="85" t="s">
        <v>239</v>
      </c>
      <c r="J74" s="15"/>
      <c r="K74" s="247"/>
      <c r="L74" s="314"/>
      <c r="M74" s="314"/>
      <c r="N74" s="86"/>
    </row>
    <row r="75" spans="2:21" x14ac:dyDescent="0.25">
      <c r="B75" s="21" t="s">
        <v>341</v>
      </c>
      <c r="D75" t="s">
        <v>358</v>
      </c>
      <c r="G75" s="246" t="s">
        <v>319</v>
      </c>
      <c r="H75" s="240">
        <v>0.9</v>
      </c>
      <c r="I75" s="85" t="s">
        <v>239</v>
      </c>
      <c r="J75" s="15"/>
      <c r="K75" s="247"/>
      <c r="L75" s="314"/>
      <c r="M75" s="314"/>
      <c r="N75" s="86"/>
    </row>
    <row r="76" spans="2:21" x14ac:dyDescent="0.25">
      <c r="B76" s="21" t="s">
        <v>434</v>
      </c>
      <c r="G76" s="21"/>
      <c r="H76" s="21"/>
      <c r="I76" s="21"/>
      <c r="J76" s="15"/>
      <c r="K76" s="247"/>
      <c r="L76" s="314"/>
      <c r="M76" s="314"/>
      <c r="N76" s="86"/>
    </row>
    <row r="77" spans="2:21" x14ac:dyDescent="0.25">
      <c r="G77" s="21"/>
      <c r="H77" s="21"/>
      <c r="I77" s="21"/>
      <c r="J77" s="15"/>
      <c r="K77" s="247"/>
      <c r="L77" s="314"/>
      <c r="M77" s="314"/>
      <c r="N77" s="86"/>
    </row>
    <row r="78" spans="2:21" x14ac:dyDescent="0.25">
      <c r="B78" s="86" t="s">
        <v>173</v>
      </c>
      <c r="G78" s="21"/>
      <c r="H78" s="21"/>
      <c r="I78" s="21"/>
      <c r="J78" s="86"/>
      <c r="K78" s="86"/>
      <c r="L78" s="248"/>
      <c r="M78" s="21"/>
      <c r="N78" s="21"/>
    </row>
    <row r="79" spans="2:21" x14ac:dyDescent="0.25">
      <c r="B79" s="86" t="s">
        <v>266</v>
      </c>
      <c r="J79" s="86"/>
      <c r="K79" s="86"/>
      <c r="L79" s="86"/>
      <c r="M79" s="21"/>
      <c r="N79" s="21"/>
    </row>
    <row r="80" spans="2:21" x14ac:dyDescent="0.25">
      <c r="B80" s="21" t="s">
        <v>60</v>
      </c>
      <c r="J80" s="86"/>
      <c r="K80" s="86"/>
      <c r="L80" s="248"/>
      <c r="M80" s="21"/>
      <c r="N80" s="21"/>
    </row>
  </sheetData>
  <mergeCells count="27">
    <mergeCell ref="L76:M76"/>
    <mergeCell ref="L77:M77"/>
    <mergeCell ref="L71:M71"/>
    <mergeCell ref="L72:M72"/>
    <mergeCell ref="L73:M73"/>
    <mergeCell ref="L74:M74"/>
    <mergeCell ref="L75:M75"/>
    <mergeCell ref="AT12:AX12"/>
    <mergeCell ref="H57:I57"/>
    <mergeCell ref="L57:M57"/>
    <mergeCell ref="P57:P70"/>
    <mergeCell ref="L58:M58"/>
    <mergeCell ref="L59:M59"/>
    <mergeCell ref="L60:M60"/>
    <mergeCell ref="L61:M61"/>
    <mergeCell ref="L64:M64"/>
    <mergeCell ref="L65:M65"/>
    <mergeCell ref="L66:M66"/>
    <mergeCell ref="L67:M67"/>
    <mergeCell ref="L68:M68"/>
    <mergeCell ref="L69:M69"/>
    <mergeCell ref="L70:M70"/>
    <mergeCell ref="B5:B6"/>
    <mergeCell ref="B7:B8"/>
    <mergeCell ref="AM11:AR11"/>
    <mergeCell ref="R12:X12"/>
    <mergeCell ref="Y12:AC12"/>
  </mergeCells>
  <pageMargins left="0.7" right="0.7" top="0.75" bottom="0.75"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3"/>
  <sheetViews>
    <sheetView topLeftCell="A16" zoomScale="75" zoomScaleNormal="75" workbookViewId="0">
      <selection activeCell="G16" sqref="G16"/>
    </sheetView>
  </sheetViews>
  <sheetFormatPr baseColWidth="10" defaultColWidth="9.140625" defaultRowHeight="15" x14ac:dyDescent="0.25"/>
  <cols>
    <col min="1" max="1" width="13" style="30" customWidth="1"/>
    <col min="2" max="1025" width="11.42578125" style="30"/>
  </cols>
  <sheetData>
    <row r="1" spans="1:7" x14ac:dyDescent="0.25">
      <c r="A1" s="30" t="s">
        <v>435</v>
      </c>
    </row>
    <row r="2" spans="1:7" x14ac:dyDescent="0.25">
      <c r="A2" s="30" t="s">
        <v>436</v>
      </c>
    </row>
    <row r="3" spans="1:7" x14ac:dyDescent="0.25">
      <c r="A3" s="249" t="s">
        <v>437</v>
      </c>
    </row>
    <row r="4" spans="1:7" x14ac:dyDescent="0.25">
      <c r="A4" s="249"/>
    </row>
    <row r="5" spans="1:7" x14ac:dyDescent="0.25">
      <c r="A5" s="30" t="s">
        <v>438</v>
      </c>
    </row>
    <row r="6" spans="1:7" x14ac:dyDescent="0.25">
      <c r="B6" s="316" t="s">
        <v>439</v>
      </c>
      <c r="C6" s="316"/>
      <c r="D6" s="316"/>
      <c r="E6" s="316"/>
    </row>
    <row r="7" spans="1:7" x14ac:dyDescent="0.25">
      <c r="A7" s="250" t="s">
        <v>35</v>
      </c>
      <c r="B7" s="32">
        <v>5600</v>
      </c>
      <c r="C7" s="32">
        <v>6700</v>
      </c>
      <c r="D7" s="32">
        <v>7700</v>
      </c>
      <c r="E7" s="32">
        <v>10700</v>
      </c>
    </row>
    <row r="8" spans="1:7" x14ac:dyDescent="0.25">
      <c r="A8" s="250" t="s">
        <v>36</v>
      </c>
      <c r="B8" s="32">
        <v>194</v>
      </c>
      <c r="C8" s="32">
        <v>146</v>
      </c>
      <c r="D8" s="32">
        <v>98</v>
      </c>
      <c r="E8" s="32">
        <v>48</v>
      </c>
    </row>
    <row r="9" spans="1:7" x14ac:dyDescent="0.25">
      <c r="A9" s="250" t="s">
        <v>37</v>
      </c>
      <c r="B9" s="32">
        <v>240</v>
      </c>
      <c r="C9" s="32">
        <v>176</v>
      </c>
      <c r="D9" s="32">
        <v>113</v>
      </c>
      <c r="E9" s="32">
        <v>63</v>
      </c>
    </row>
    <row r="10" spans="1:7" x14ac:dyDescent="0.25">
      <c r="A10" s="250" t="s">
        <v>38</v>
      </c>
      <c r="B10" s="32">
        <v>277</v>
      </c>
      <c r="C10" s="32">
        <v>202</v>
      </c>
      <c r="D10" s="32">
        <v>126</v>
      </c>
      <c r="E10" s="32">
        <v>76</v>
      </c>
    </row>
    <row r="12" spans="1:7" x14ac:dyDescent="0.25">
      <c r="A12" s="30" t="s">
        <v>440</v>
      </c>
    </row>
    <row r="14" spans="1:7" x14ac:dyDescent="0.25">
      <c r="A14" s="30" t="s">
        <v>441</v>
      </c>
    </row>
    <row r="15" spans="1:7" ht="60" x14ac:dyDescent="0.25">
      <c r="B15" s="251" t="s">
        <v>442</v>
      </c>
      <c r="C15" s="251" t="s">
        <v>443</v>
      </c>
      <c r="D15" s="251" t="s">
        <v>444</v>
      </c>
      <c r="E15" s="251" t="s">
        <v>445</v>
      </c>
      <c r="F15" s="251" t="s">
        <v>446</v>
      </c>
      <c r="G15" s="251" t="s">
        <v>447</v>
      </c>
    </row>
    <row r="16" spans="1:7" x14ac:dyDescent="0.25">
      <c r="A16" s="250" t="str">
        <f>'Saisie maison'!A13</f>
        <v>Logement 1</v>
      </c>
      <c r="B16" s="250">
        <f>IF(('Saisie maison'!H13+'Saisie maison'!I13)=1,1,IF('Saisie maison'!H13+'Saisie maison'!I13=2,1.5,IF(('Saisie maison'!H13+'Saisie maison'!I13)&gt;2,1.5+('Saisie maison'!H13+'Saisie maison'!I13-2)*0.3,0)))</f>
        <v>1.8</v>
      </c>
      <c r="C16" s="32">
        <f>IF('Saisie maison'!P13=Ressources!$A$3,0,IF('Saisie maison'!P13=Ressources!$A$4,0,IF('Saisie maison'!P13=Ressources!$A$5,Ressources!$B$5,IF('Saisie maison'!P13=Ressources!$A$6,Ressources!$B$6,IF('Saisie maison'!P13=Ressources!$A$7,Ressources!$B$7,IF('Saisie maison'!P13=Ressources!$A$8,Ressources!$B$8,IF('Saisie maison'!P13=Ressources!$A$9,Ressources!$B$9,IF('Saisie maison'!P13=Ressources!$A$10,Ressources!$B$10,IF('Saisie maison'!P13=Ressources!$A$11,Ressources!$B$11,0)))))))))</f>
        <v>1041</v>
      </c>
      <c r="D16" s="32">
        <f>IF('Saisie maison'!Q13=Ressources!$A$3,0,IF('Saisie maison'!Q13=Ressources!$A$4,0,IF('Saisie maison'!Q13=Ressources!$A$5,Ressources!$B$5,IF('Saisie maison'!Q13=Ressources!$A$6,Ressources!$B$6,IF('Saisie maison'!Q13=Ressources!$A$7,Ressources!$B$7,IF('Saisie maison'!Q13=Ressources!$A$8,Ressources!$B$8,IF('Saisie maison'!Q13=Ressources!$A$9,Ressources!$B$9,IF('Saisie maison'!Q13=Ressources!$A$10,Ressources!$B$10,IF('Saisie maison'!Q13=Ressources!$A$11,Ressources!$B$11,0)))))))))</f>
        <v>0</v>
      </c>
      <c r="E16" s="32">
        <f>(C16+D16)*0.9*12</f>
        <v>11242.8</v>
      </c>
      <c r="F16" s="32">
        <f>E16/B16</f>
        <v>6245.9999999999991</v>
      </c>
      <c r="G16" s="32">
        <f>IF('Cheque Energie'!F16&lt;'Cheque Energie'!$B$7,IF('Cheque Energie'!B16=1,'Cheque Energie'!$B$8,IF('Cheque Energie'!B16&lt;2,'Cheque Energie'!$B$9,IF('Cheque Energie'!B16&gt;2,'Cheque Energie'!$B$10,0))),IF('Cheque Energie'!F16&lt;'Cheque Energie'!$C$7,IF('Cheque Energie'!B16=1,'Cheque Energie'!$C$8,IF('Cheque Energie'!B16&lt;2,'Cheque Energie'!$C$9,IF('Cheque Energie'!B16&gt;2,'Cheque Energie'!$C$10,0))),IF('Cheque Energie'!F16&lt;'Cheque Energie'!$D$7,IF('Cheque Energie'!B16=1,'Cheque Energie'!$D$8,IF('Cheque Energie'!B16&lt;2,'Cheque Energie'!$D$9,IF('Cheque Energie'!B16&gt;2,'Cheque Energie'!$D$10,0))),IF('Cheque Energie'!F16&lt;'Cheque Energie'!$E$7,IF('Cheque Energie'!B16=1,'Cheque Energie'!$E$8,IF('Cheque Energie'!B16&lt;2,'Cheque Energie'!$E$9,IF('Cheque Energie'!B16&gt;2,'Cheque Energie'!$E$10,0))),0))))</f>
        <v>176</v>
      </c>
    </row>
    <row r="17" spans="1:7" x14ac:dyDescent="0.25">
      <c r="A17" s="250" t="str">
        <f>'Saisie maison'!A14</f>
        <v>Logement 2</v>
      </c>
      <c r="B17" s="250">
        <f>IF(('Saisie maison'!H14+'Saisie maison'!I14)=1,1,IF('Saisie maison'!H14+'Saisie maison'!I14=2,1.5,IF(('Saisie maison'!H14+'Saisie maison'!I14)&gt;2,1.5+('Saisie maison'!H14+'Saisie maison'!I14-2)*0.3,0)))</f>
        <v>0</v>
      </c>
      <c r="C17" s="32">
        <f>IF('Saisie maison'!P14=Ressources!$A$3,0,IF('Saisie maison'!P14=Ressources!$A$4,0,IF('Saisie maison'!P14=Ressources!$A$5,Ressources!$B$5,IF('Saisie maison'!P14=Ressources!$A$6,Ressources!$B$6,IF('Saisie maison'!P14=Ressources!$A$7,Ressources!$B$7,IF('Saisie maison'!P14=Ressources!$A$8,Ressources!$B$8,IF('Saisie maison'!P14=Ressources!$A$9,Ressources!$B$9,IF('Saisie maison'!P14=Ressources!$A$10,Ressources!$B$10,IF('Saisie maison'!P14=Ressources!$A$11,Ressources!$B$11,0)))))))))</f>
        <v>0</v>
      </c>
      <c r="D17" s="32">
        <f>IF('Saisie maison'!Q14=Ressources!$A$3,0,IF('Saisie maison'!Q14=Ressources!$A$4,0,IF('Saisie maison'!Q14=Ressources!$A$5,Ressources!$B$5,IF('Saisie maison'!Q14=Ressources!$A$6,Ressources!$B$6,IF('Saisie maison'!Q14=Ressources!$A$7,Ressources!$B$7,IF('Saisie maison'!Q14=Ressources!$A$8,Ressources!$B$8,IF('Saisie maison'!Q14=Ressources!$A$9,Ressources!$B$9,IF('Saisie maison'!Q14=Ressources!$A$10,Ressources!$B$10,IF('Saisie maison'!Q14=Ressources!$A$11,Ressources!$B$11,0)))))))))</f>
        <v>0</v>
      </c>
      <c r="E17" s="32">
        <f>(C17+D17)*0.9*12</f>
        <v>0</v>
      </c>
      <c r="F17" s="32" t="e">
        <f>E17/B17</f>
        <v>#DIV/0!</v>
      </c>
      <c r="G17" s="32" t="e">
        <f>IF('Cheque Energie'!F17&lt;'Cheque Energie'!$B$7,IF('Cheque Energie'!B17=1,'Cheque Energie'!$B$8,IF('Cheque Energie'!B17&lt;2,'Cheque Energie'!$B$9,IF('Cheque Energie'!B17&gt;2,'Cheque Energie'!$B$10,0))),IF('Cheque Energie'!F17&lt;'Cheque Energie'!$C$7,IF('Cheque Energie'!B17=1,'Cheque Energie'!$C$8,IF('Cheque Energie'!B17&lt;2,'Cheque Energie'!$C$9,IF('Cheque Energie'!B17&gt;2,'Cheque Energie'!$C$10,0))),IF('Cheque Energie'!F17&lt;'Cheque Energie'!$D$7,IF('Cheque Energie'!B17=1,'Cheque Energie'!$D$8,IF('Cheque Energie'!B17&lt;2,'Cheque Energie'!$D$9,IF('Cheque Energie'!B17&gt;2,'Cheque Energie'!$D$10,0))),IF('Cheque Energie'!F17&lt;'Cheque Energie'!$E$7,IF('Cheque Energie'!B17=1,'Cheque Energie'!$E$8,IF('Cheque Energie'!B17&lt;2,'Cheque Energie'!$E$9,IF('Cheque Energie'!B17&gt;2,'Cheque Energie'!$E$10,0))),0))))</f>
        <v>#DIV/0!</v>
      </c>
    </row>
    <row r="18" spans="1:7" x14ac:dyDescent="0.25">
      <c r="A18" s="250" t="str">
        <f>'Saisie maison'!A15</f>
        <v>Logement 3</v>
      </c>
      <c r="B18" s="250">
        <f>IF(('Saisie maison'!H15+'Saisie maison'!I15)=1,1,IF('Saisie maison'!H15+'Saisie maison'!I15=2,1.5,IF(('Saisie maison'!H15+'Saisie maison'!I15)&gt;2,1.5+('Saisie maison'!H15+'Saisie maison'!I15-2)*0.3,0)))</f>
        <v>0</v>
      </c>
      <c r="C18" s="32">
        <f>IF('Saisie maison'!P15=Ressources!$A$3,0,IF('Saisie maison'!P15=Ressources!$A$4,0,IF('Saisie maison'!P15=Ressources!$A$5,Ressources!$B$5,IF('Saisie maison'!P15=Ressources!$A$6,Ressources!$B$6,IF('Saisie maison'!P15=Ressources!$A$7,Ressources!$B$7,IF('Saisie maison'!P15=Ressources!$A$8,Ressources!$B$8,IF('Saisie maison'!P15=Ressources!$A$9,Ressources!$B$9,IF('Saisie maison'!P15=Ressources!$A$10,Ressources!$B$10,IF('Saisie maison'!P15=Ressources!$A$11,Ressources!$B$11,0)))))))))</f>
        <v>0</v>
      </c>
      <c r="D18" s="32">
        <f>IF('Saisie maison'!Q15=Ressources!$A$3,0,IF('Saisie maison'!Q15=Ressources!$A$4,0,IF('Saisie maison'!Q15=Ressources!$A$5,Ressources!$B$5,IF('Saisie maison'!Q15=Ressources!$A$6,Ressources!$B$6,IF('Saisie maison'!Q15=Ressources!$A$7,Ressources!$B$7,IF('Saisie maison'!Q15=Ressources!$A$8,Ressources!$B$8,IF('Saisie maison'!Q15=Ressources!$A$9,Ressources!$B$9,IF('Saisie maison'!Q15=Ressources!$A$10,Ressources!$B$10,IF('Saisie maison'!Q15=Ressources!$A$11,Ressources!$B$11,0)))))))))</f>
        <v>0</v>
      </c>
      <c r="E18" s="32">
        <f>(C18+D18)*0.9*12</f>
        <v>0</v>
      </c>
      <c r="F18" s="32" t="e">
        <f>E18/B18</f>
        <v>#DIV/0!</v>
      </c>
      <c r="G18" s="32" t="e">
        <f>IF('Cheque Energie'!F18&lt;'Cheque Energie'!$B$7,IF('Cheque Energie'!B18=1,'Cheque Energie'!$B$8,IF('Cheque Energie'!B18&lt;2,'Cheque Energie'!$B$9,IF('Cheque Energie'!B18&gt;2,'Cheque Energie'!$B$10,0))),IF('Cheque Energie'!F18&lt;'Cheque Energie'!$C$7,IF('Cheque Energie'!B18=1,'Cheque Energie'!$C$8,IF('Cheque Energie'!B18&lt;2,'Cheque Energie'!$C$9,IF('Cheque Energie'!B18&gt;2,'Cheque Energie'!$C$10,0))),IF('Cheque Energie'!F18&lt;'Cheque Energie'!$D$7,IF('Cheque Energie'!B18=1,'Cheque Energie'!$D$8,IF('Cheque Energie'!B18&lt;2,'Cheque Energie'!$D$9,IF('Cheque Energie'!B18&gt;2,'Cheque Energie'!$D$10,0))),IF('Cheque Energie'!F18&lt;'Cheque Energie'!$E$7,IF('Cheque Energie'!B18=1,'Cheque Energie'!$E$8,IF('Cheque Energie'!B18&lt;2,'Cheque Energie'!$E$9,IF('Cheque Energie'!B18&gt;2,'Cheque Energie'!$E$10,0))),0))))</f>
        <v>#DIV/0!</v>
      </c>
    </row>
    <row r="19" spans="1:7" x14ac:dyDescent="0.25">
      <c r="A19" s="250" t="str">
        <f>'Saisie maison'!A16</f>
        <v>Logement 4</v>
      </c>
      <c r="B19" s="250">
        <f>IF(('Saisie maison'!H16+'Saisie maison'!I16)=1,1,IF('Saisie maison'!H16+'Saisie maison'!I16=2,1.5,IF(('Saisie maison'!H16+'Saisie maison'!I16)&gt;2,1.5+('Saisie maison'!H16+'Saisie maison'!I16-2)*0.3,0)))</f>
        <v>0</v>
      </c>
      <c r="C19" s="32">
        <f>IF('Saisie maison'!P16=Ressources!$A$3,0,IF('Saisie maison'!P16=Ressources!$A$4,0,IF('Saisie maison'!P16=Ressources!$A$5,Ressources!$B$5,IF('Saisie maison'!P16=Ressources!$A$6,Ressources!$B$6,IF('Saisie maison'!P16=Ressources!$A$7,Ressources!$B$7,IF('Saisie maison'!P16=Ressources!$A$8,Ressources!$B$8,IF('Saisie maison'!P16=Ressources!$A$9,Ressources!$B$9,IF('Saisie maison'!P16=Ressources!$A$10,Ressources!$B$10,IF('Saisie maison'!P16=Ressources!$A$11,Ressources!$B$11,0)))))))))</f>
        <v>0</v>
      </c>
      <c r="D19" s="32">
        <f>IF('Saisie maison'!Q16=Ressources!$A$3,0,IF('Saisie maison'!Q16=Ressources!$A$4,0,IF('Saisie maison'!Q16=Ressources!$A$5,Ressources!$B$5,IF('Saisie maison'!Q16=Ressources!$A$6,Ressources!$B$6,IF('Saisie maison'!Q16=Ressources!$A$7,Ressources!$B$7,IF('Saisie maison'!Q16=Ressources!$A$8,Ressources!$B$8,IF('Saisie maison'!Q16=Ressources!$A$9,Ressources!$B$9,IF('Saisie maison'!Q16=Ressources!$A$10,Ressources!$B$10,IF('Saisie maison'!Q16=Ressources!$A$11,Ressources!$B$11,0)))))))))</f>
        <v>0</v>
      </c>
      <c r="E19" s="32">
        <f>(C19+D19)*0.9*12</f>
        <v>0</v>
      </c>
      <c r="F19" s="32" t="e">
        <f>E19/B19</f>
        <v>#DIV/0!</v>
      </c>
      <c r="G19" s="32" t="e">
        <f>IF('Cheque Energie'!F19&lt;'Cheque Energie'!$B$7,IF('Cheque Energie'!B19=1,'Cheque Energie'!$B$8,IF('Cheque Energie'!B19&lt;2,'Cheque Energie'!$B$9,IF('Cheque Energie'!B19&gt;2,'Cheque Energie'!$B$10,0))),IF('Cheque Energie'!F19&lt;'Cheque Energie'!$C$7,IF('Cheque Energie'!B19=1,'Cheque Energie'!$C$8,IF('Cheque Energie'!B19&lt;2,'Cheque Energie'!$C$9,IF('Cheque Energie'!B19&gt;2,'Cheque Energie'!$C$10,0))),IF('Cheque Energie'!F19&lt;'Cheque Energie'!$D$7,IF('Cheque Energie'!B19=1,'Cheque Energie'!$D$8,IF('Cheque Energie'!B19&lt;2,'Cheque Energie'!$D$9,IF('Cheque Energie'!B19&gt;2,'Cheque Energie'!$D$10,0))),IF('Cheque Energie'!F19&lt;'Cheque Energie'!$E$7,IF('Cheque Energie'!B19=1,'Cheque Energie'!$E$8,IF('Cheque Energie'!B19&lt;2,'Cheque Energie'!$E$9,IF('Cheque Energie'!B19&gt;2,'Cheque Energie'!$E$10,0))),0))))</f>
        <v>#DIV/0!</v>
      </c>
    </row>
    <row r="20" spans="1:7" x14ac:dyDescent="0.25">
      <c r="A20" s="250" t="str">
        <f>'Saisie maison'!A17</f>
        <v>Logement 5</v>
      </c>
      <c r="B20" s="250">
        <f>IF(('Saisie maison'!H17+'Saisie maison'!I17)=1,1,IF('Saisie maison'!H17+'Saisie maison'!I17=2,1.5,IF(('Saisie maison'!H17+'Saisie maison'!I17)&gt;2,1.5+('Saisie maison'!H17+'Saisie maison'!I17-2)*0.3,0)))</f>
        <v>0</v>
      </c>
      <c r="C20" s="32">
        <f>IF('Saisie maison'!P17=Ressources!$A$3,0,IF('Saisie maison'!P17=Ressources!$A$4,0,IF('Saisie maison'!P17=Ressources!$A$5,Ressources!$B$5,IF('Saisie maison'!P17=Ressources!$A$6,Ressources!$B$6,IF('Saisie maison'!P17=Ressources!$A$7,Ressources!$B$7,IF('Saisie maison'!P17=Ressources!$A$8,Ressources!$B$8,IF('Saisie maison'!P17=Ressources!$A$9,Ressources!$B$9,IF('Saisie maison'!P17=Ressources!$A$10,Ressources!$B$10,IF('Saisie maison'!P17=Ressources!$A$11,Ressources!$B$11,0)))))))))</f>
        <v>0</v>
      </c>
      <c r="D20" s="32">
        <f>IF('Saisie maison'!Q17=Ressources!$A$3,0,IF('Saisie maison'!Q17=Ressources!$A$4,0,IF('Saisie maison'!Q17=Ressources!$A$5,Ressources!$B$5,IF('Saisie maison'!Q17=Ressources!$A$6,Ressources!$B$6,IF('Saisie maison'!Q17=Ressources!$A$7,Ressources!$B$7,IF('Saisie maison'!Q17=Ressources!$A$8,Ressources!$B$8,IF('Saisie maison'!Q17=Ressources!$A$9,Ressources!$B$9,IF('Saisie maison'!Q17=Ressources!$A$10,Ressources!$B$10,IF('Saisie maison'!Q17=Ressources!$A$11,Ressources!$B$11,0)))))))))</f>
        <v>0</v>
      </c>
      <c r="E20" s="32">
        <f>(C20+D20)*0.9*12</f>
        <v>0</v>
      </c>
      <c r="F20" s="32" t="e">
        <f>E20/B20</f>
        <v>#DIV/0!</v>
      </c>
      <c r="G20" s="32" t="e">
        <f>IF('Cheque Energie'!F20&lt;'Cheque Energie'!$B$7,IF('Cheque Energie'!B20=1,'Cheque Energie'!$B$8,IF('Cheque Energie'!B20&lt;2,'Cheque Energie'!$B$9,IF('Cheque Energie'!B20&gt;2,'Cheque Energie'!$B$10,0))),IF('Cheque Energie'!F20&lt;'Cheque Energie'!$C$7,IF('Cheque Energie'!B20=1,'Cheque Energie'!$C$8,IF('Cheque Energie'!B20&lt;2,'Cheque Energie'!$C$9,IF('Cheque Energie'!B20&gt;2,'Cheque Energie'!$C$10,0))),IF('Cheque Energie'!F20&lt;'Cheque Energie'!$D$7,IF('Cheque Energie'!B20=1,'Cheque Energie'!$D$8,IF('Cheque Energie'!B20&lt;2,'Cheque Energie'!$D$9,IF('Cheque Energie'!B20&gt;2,'Cheque Energie'!$D$10,0))),IF('Cheque Energie'!F20&lt;'Cheque Energie'!$E$7,IF('Cheque Energie'!B20=1,'Cheque Energie'!$E$8,IF('Cheque Energie'!B20&lt;2,'Cheque Energie'!$E$9,IF('Cheque Energie'!B20&gt;2,'Cheque Energie'!$E$10,0))),0))))</f>
        <v>#DIV/0!</v>
      </c>
    </row>
    <row r="22" spans="1:7" x14ac:dyDescent="0.25">
      <c r="A22" s="30" t="s">
        <v>448</v>
      </c>
    </row>
    <row r="23" spans="1:7" ht="60" x14ac:dyDescent="0.25">
      <c r="B23" s="251" t="s">
        <v>442</v>
      </c>
      <c r="C23" s="251" t="s">
        <v>443</v>
      </c>
      <c r="D23" s="251" t="s">
        <v>444</v>
      </c>
      <c r="E23" s="251" t="s">
        <v>445</v>
      </c>
      <c r="F23" s="251" t="s">
        <v>446</v>
      </c>
      <c r="G23" s="251" t="s">
        <v>447</v>
      </c>
    </row>
    <row r="24" spans="1:7" x14ac:dyDescent="0.25">
      <c r="A24" s="250" t="str">
        <f>'Saisie immeuble'!A11</f>
        <v>Logement 1</v>
      </c>
      <c r="B24" s="250">
        <f>IF(('Saisie immeuble'!I11+'Saisie immeuble'!J11)=1,1,IF('Saisie immeuble'!I11+'Saisie immeuble'!J11=2,1.5,IF(('Saisie immeuble'!I11+'Saisie immeuble'!J11)&gt;2,1.5+('Saisie immeuble'!I11+'Saisie immeuble'!J11-2)*0.3,0)))</f>
        <v>1</v>
      </c>
      <c r="C24" s="32">
        <f>IF('Saisie immeuble'!Q11=Ressources!$A$3,0,IF('Saisie immeuble'!Q11=Ressources!$A$4,0,IF('Saisie immeuble'!Q11=Ressources!$A$5,Ressources!$B$5,IF('Saisie immeuble'!Q11=Ressources!$A$6,Ressources!$B$6,IF('Saisie immeuble'!Q11=Ressources!$A$7,Ressources!$B$7,IF('Saisie immeuble'!Q11=Ressources!$A$8,Ressources!$B$8,IF('Saisie immeuble'!Q11=Ressources!$A$9,Ressources!$B$9,IF('Saisie immeuble'!Q11=Ressources!$A$10,Ressources!$B$10,IF('Saisie immeuble'!Q11=Ressources!$A$11,Ressources!$B$11,0)))))))))</f>
        <v>0</v>
      </c>
      <c r="D24" s="32">
        <f>IF('Saisie immeuble'!R11=Ressources!$A$3,0,IF('Saisie immeuble'!R11=Ressources!$A$4,0,IF('Saisie immeuble'!R11=Ressources!$A$5,Ressources!$B$5,IF('Saisie immeuble'!R11=Ressources!$A$6,Ressources!$B$6,IF('Saisie immeuble'!R11=Ressources!$A$7,Ressources!$B$7,IF('Saisie immeuble'!R11=Ressources!$A$8,Ressources!$B$8,IF('Saisie immeuble'!R11=Ressources!$A$9,Ressources!$B$9,IF('Saisie immeuble'!R11=Ressources!$A$10,Ressources!$B$10,IF('Saisie immeuble'!R11=Ressources!$A$11,Ressources!$B$11,0)))))))))</f>
        <v>0</v>
      </c>
      <c r="E24" s="32">
        <f t="shared" ref="E24:E33" si="0">(C24+D24)*0.9*12</f>
        <v>0</v>
      </c>
      <c r="F24" s="32">
        <f t="shared" ref="F24:F33" si="1">E24/B24</f>
        <v>0</v>
      </c>
      <c r="G24" s="32">
        <f>IF('Cheque Energie'!F24&lt;'Cheque Energie'!$B$7,IF('Cheque Energie'!B24=1,'Cheque Energie'!$B$8,IF('Cheque Energie'!B24&lt;2,'Cheque Energie'!$B$9,IF('Cheque Energie'!B24&gt;2,'Cheque Energie'!$B$10,0))),IF('Cheque Energie'!F24&lt;'Cheque Energie'!$C$7,IF('Cheque Energie'!B24=1,'Cheque Energie'!$C$8,IF('Cheque Energie'!B24&lt;2,'Cheque Energie'!$C$9,IF('Cheque Energie'!B24&gt;2,'Cheque Energie'!$C$10,0))),IF('Cheque Energie'!F24&lt;'Cheque Energie'!$D$7,IF('Cheque Energie'!B24=1,'Cheque Energie'!$D$8,IF('Cheque Energie'!B24&lt;2,'Cheque Energie'!$D$9,IF('Cheque Energie'!B24&gt;2,'Cheque Energie'!$D$10,0))),IF('Cheque Energie'!F24&lt;'Cheque Energie'!$E$7,IF('Cheque Energie'!B24=1,'Cheque Energie'!$E$8,IF('Cheque Energie'!B24&lt;2,'Cheque Energie'!$E$9,IF('Cheque Energie'!B24&gt;2,'Cheque Energie'!$E$10,0))),0))))</f>
        <v>194</v>
      </c>
    </row>
    <row r="25" spans="1:7" x14ac:dyDescent="0.25">
      <c r="A25" s="250" t="str">
        <f>'Saisie immeuble'!A12</f>
        <v>Logement 2</v>
      </c>
      <c r="B25" s="250">
        <f>IF(('Saisie immeuble'!I12+'Saisie immeuble'!J12)=1,1,IF('Saisie immeuble'!I12+'Saisie immeuble'!J12=2,1.5,IF(('Saisie immeuble'!I12+'Saisie immeuble'!J12)&gt;2,1.5+('Saisie immeuble'!I12+'Saisie immeuble'!J12-2)*0.3,0)))</f>
        <v>1.5</v>
      </c>
      <c r="C25" s="32">
        <f>IF('Saisie immeuble'!Q12=Ressources!$A$3,0,IF('Saisie immeuble'!Q12=Ressources!$A$4,0,IF('Saisie immeuble'!Q12=Ressources!$A$5,Ressources!$B$5,IF('Saisie immeuble'!Q12=Ressources!$A$6,Ressources!$B$6,IF('Saisie immeuble'!Q12=Ressources!$A$7,Ressources!$B$7,IF('Saisie immeuble'!Q12=Ressources!$A$8,Ressources!$B$8,IF('Saisie immeuble'!Q12=Ressources!$A$9,Ressources!$B$9,IF('Saisie immeuble'!Q12=Ressources!$A$10,Ressources!$B$10,IF('Saisie immeuble'!Q12=Ressources!$A$11,Ressources!$B$11,0)))))))))</f>
        <v>1041</v>
      </c>
      <c r="D25" s="32">
        <f>IF('Saisie immeuble'!R12=Ressources!$A$3,0,IF('Saisie immeuble'!R12=Ressources!$A$4,0,IF('Saisie immeuble'!R12=Ressources!$A$5,Ressources!$B$5,IF('Saisie immeuble'!R12=Ressources!$A$6,Ressources!$B$6,IF('Saisie immeuble'!R12=Ressources!$A$7,Ressources!$B$7,IF('Saisie immeuble'!R12=Ressources!$A$8,Ressources!$B$8,IF('Saisie immeuble'!R12=Ressources!$A$9,Ressources!$B$9,IF('Saisie immeuble'!R12=Ressources!$A$10,Ressources!$B$10,IF('Saisie immeuble'!R12=Ressources!$A$11,Ressources!$B$11,0)))))))))</f>
        <v>0</v>
      </c>
      <c r="E25" s="32">
        <f t="shared" si="0"/>
        <v>11242.8</v>
      </c>
      <c r="F25" s="32">
        <f t="shared" si="1"/>
        <v>7495.2</v>
      </c>
      <c r="G25" s="32">
        <f>IF('Cheque Energie'!F25&lt;'Cheque Energie'!$B$7,IF('Cheque Energie'!B25=1,'Cheque Energie'!$B$8,IF('Cheque Energie'!B25&lt;2,'Cheque Energie'!$B$9,IF('Cheque Energie'!B25&gt;2,'Cheque Energie'!$B$10,0))),IF('Cheque Energie'!F25&lt;'Cheque Energie'!$C$7,IF('Cheque Energie'!B25=1,'Cheque Energie'!$C$8,IF('Cheque Energie'!B25&lt;2,'Cheque Energie'!$C$9,IF('Cheque Energie'!B25&gt;2,'Cheque Energie'!$C$10,0))),IF('Cheque Energie'!F25&lt;'Cheque Energie'!$D$7,IF('Cheque Energie'!B25=1,'Cheque Energie'!$D$8,IF('Cheque Energie'!B25&lt;2,'Cheque Energie'!$D$9,IF('Cheque Energie'!B25&gt;2,'Cheque Energie'!$D$10,0))),IF('Cheque Energie'!F25&lt;'Cheque Energie'!$E$7,IF('Cheque Energie'!B25=1,'Cheque Energie'!$E$8,IF('Cheque Energie'!B25&lt;2,'Cheque Energie'!$E$9,IF('Cheque Energie'!B25&gt;2,'Cheque Energie'!$E$10,0))),0))))</f>
        <v>113</v>
      </c>
    </row>
    <row r="26" spans="1:7" x14ac:dyDescent="0.25">
      <c r="A26" s="250" t="str">
        <f>'Saisie immeuble'!A13</f>
        <v>Logement 3</v>
      </c>
      <c r="B26" s="250">
        <f>IF(('Saisie immeuble'!I13+'Saisie immeuble'!J13)=1,1,IF('Saisie immeuble'!I13+'Saisie immeuble'!J13=2,1.5,IF(('Saisie immeuble'!I13+'Saisie immeuble'!J13)&gt;2,1.5+('Saisie immeuble'!I13+'Saisie immeuble'!J13-2)*0.3,0)))</f>
        <v>1</v>
      </c>
      <c r="C26" s="32">
        <f>IF('Saisie immeuble'!Q13=Ressources!$A$3,0,IF('Saisie immeuble'!Q13=Ressources!$A$4,0,IF('Saisie immeuble'!Q13=Ressources!$A$5,Ressources!$B$5,IF('Saisie immeuble'!Q13=Ressources!$A$6,Ressources!$B$6,IF('Saisie immeuble'!Q13=Ressources!$A$7,Ressources!$B$7,IF('Saisie immeuble'!Q13=Ressources!$A$8,Ressources!$B$8,IF('Saisie immeuble'!Q13=Ressources!$A$9,Ressources!$B$9,IF('Saisie immeuble'!Q13=Ressources!$A$10,Ressources!$B$10,IF('Saisie immeuble'!Q13=Ressources!$A$11,Ressources!$B$11,0)))))))))</f>
        <v>0</v>
      </c>
      <c r="D26" s="32">
        <f>IF('Saisie immeuble'!R13=Ressources!$A$3,0,IF('Saisie immeuble'!R13=Ressources!$A$4,0,IF('Saisie immeuble'!R13=Ressources!$A$5,Ressources!$B$5,IF('Saisie immeuble'!R13=Ressources!$A$6,Ressources!$B$6,IF('Saisie immeuble'!R13=Ressources!$A$7,Ressources!$B$7,IF('Saisie immeuble'!R13=Ressources!$A$8,Ressources!$B$8,IF('Saisie immeuble'!R13=Ressources!$A$9,Ressources!$B$9,IF('Saisie immeuble'!R13=Ressources!$A$10,Ressources!$B$10,IF('Saisie immeuble'!R13=Ressources!$A$11,Ressources!$B$11,0)))))))))</f>
        <v>0</v>
      </c>
      <c r="E26" s="252">
        <f t="shared" si="0"/>
        <v>0</v>
      </c>
      <c r="F26" s="252">
        <f t="shared" si="1"/>
        <v>0</v>
      </c>
      <c r="G26" s="252">
        <f>IF('Cheque Energie'!F26&lt;'Cheque Energie'!$B$7,IF('Cheque Energie'!B26=1,'Cheque Energie'!$B$8,IF('Cheque Energie'!B26&lt;2,'Cheque Energie'!$B$9,IF('Cheque Energie'!B26&gt;2,'Cheque Energie'!$B$10,0))),IF('Cheque Energie'!F26&lt;'Cheque Energie'!$C$7,IF('Cheque Energie'!B26=1,'Cheque Energie'!$C$8,IF('Cheque Energie'!B26&lt;2,'Cheque Energie'!$C$9,IF('Cheque Energie'!B26&gt;2,'Cheque Energie'!$C$10,0))),IF('Cheque Energie'!F26&lt;'Cheque Energie'!$D$7,IF('Cheque Energie'!B26=1,'Cheque Energie'!$D$8,IF('Cheque Energie'!B26&lt;2,'Cheque Energie'!$D$9,IF('Cheque Energie'!B26&gt;2,'Cheque Energie'!$D$10,0))),IF('Cheque Energie'!F26&lt;'Cheque Energie'!$E$7,IF('Cheque Energie'!B26=1,'Cheque Energie'!$E$8,IF('Cheque Energie'!B26&lt;2,'Cheque Energie'!$E$9,IF('Cheque Energie'!B26&gt;2,'Cheque Energie'!$E$10,0))),0))))</f>
        <v>194</v>
      </c>
    </row>
    <row r="27" spans="1:7" x14ac:dyDescent="0.25">
      <c r="A27" s="253" t="str">
        <f>'Saisie immeuble'!A14</f>
        <v>Logement 4</v>
      </c>
      <c r="B27" s="250">
        <f>IF(('Saisie immeuble'!I14+'Saisie immeuble'!J14)=1,1,IF('Saisie immeuble'!I14+'Saisie immeuble'!J14=2,1.5,IF(('Saisie immeuble'!I14+'Saisie immeuble'!J14)&gt;2,1.5+('Saisie immeuble'!I14+'Saisie immeuble'!J14-2)*0.3,0)))</f>
        <v>1</v>
      </c>
      <c r="C27" s="32">
        <f>IF('Saisie immeuble'!Q14=Ressources!$A$3,0,IF('Saisie immeuble'!Q14=Ressources!$A$4,0,IF('Saisie immeuble'!Q14=Ressources!$A$5,Ressources!$B$5,IF('Saisie immeuble'!Q14=Ressources!$A$6,Ressources!$B$6,IF('Saisie immeuble'!Q14=Ressources!$A$7,Ressources!$B$7,IF('Saisie immeuble'!Q14=Ressources!$A$8,Ressources!$B$8,IF('Saisie immeuble'!Q14=Ressources!$A$9,Ressources!$B$9,IF('Saisie immeuble'!Q14=Ressources!$A$10,Ressources!$B$10,IF('Saisie immeuble'!Q14=Ressources!$A$11,Ressources!$B$11,0)))))))))</f>
        <v>650</v>
      </c>
      <c r="D27" s="32">
        <f>IF('Saisie immeuble'!R14=Ressources!$A$3,0,IF('Saisie immeuble'!R14=Ressources!$A$4,0,IF('Saisie immeuble'!R14=Ressources!$A$5,Ressources!$B$5,IF('Saisie immeuble'!R14=Ressources!$A$6,Ressources!$B$6,IF('Saisie immeuble'!R14=Ressources!$A$7,Ressources!$B$7,IF('Saisie immeuble'!R14=Ressources!$A$8,Ressources!$B$8,IF('Saisie immeuble'!R14=Ressources!$A$9,Ressources!$B$9,IF('Saisie immeuble'!R14=Ressources!$A$10,Ressources!$B$10,IF('Saisie immeuble'!R14=Ressources!$A$11,Ressources!$B$11,0)))))))))</f>
        <v>0</v>
      </c>
      <c r="E27" s="252">
        <f t="shared" si="0"/>
        <v>7020</v>
      </c>
      <c r="F27" s="252">
        <f t="shared" si="1"/>
        <v>7020</v>
      </c>
      <c r="G27" s="252">
        <f>IF('Cheque Energie'!F27&lt;'Cheque Energie'!$B$7,IF('Cheque Energie'!B27=1,'Cheque Energie'!$B$8,IF('Cheque Energie'!B27&lt;2,'Cheque Energie'!$B$9,IF('Cheque Energie'!B27&gt;2,'Cheque Energie'!$B$10,0))),IF('Cheque Energie'!F27&lt;'Cheque Energie'!$C$7,IF('Cheque Energie'!B27=1,'Cheque Energie'!$C$8,IF('Cheque Energie'!B27&lt;2,'Cheque Energie'!$C$9,IF('Cheque Energie'!B27&gt;2,'Cheque Energie'!$C$10,0))),IF('Cheque Energie'!F27&lt;'Cheque Energie'!$D$7,IF('Cheque Energie'!B27=1,'Cheque Energie'!$D$8,IF('Cheque Energie'!B27&lt;2,'Cheque Energie'!$D$9,IF('Cheque Energie'!B27&gt;2,'Cheque Energie'!$D$10,0))),IF('Cheque Energie'!F27&lt;'Cheque Energie'!$E$7,IF('Cheque Energie'!B27=1,'Cheque Energie'!$E$8,IF('Cheque Energie'!B27&lt;2,'Cheque Energie'!$E$9,IF('Cheque Energie'!B27&gt;2,'Cheque Energie'!$E$10,0))),0))))</f>
        <v>98</v>
      </c>
    </row>
    <row r="28" spans="1:7" x14ac:dyDescent="0.25">
      <c r="A28" s="253" t="str">
        <f>'Saisie immeuble'!A15</f>
        <v>Logement 5</v>
      </c>
      <c r="B28" s="250">
        <f>IF(('Saisie immeuble'!I15+'Saisie immeuble'!J15)=1,1,IF('Saisie immeuble'!I15+'Saisie immeuble'!J15=2,1.5,IF(('Saisie immeuble'!I15+'Saisie immeuble'!J15)&gt;2,1.5+('Saisie immeuble'!I15+'Saisie immeuble'!J15-2)*0.3,0)))</f>
        <v>1</v>
      </c>
      <c r="C28" s="32">
        <f>IF('Saisie immeuble'!Q15=Ressources!$A$3,0,IF('Saisie immeuble'!Q15=Ressources!$A$4,0,IF('Saisie immeuble'!Q15=Ressources!$A$5,Ressources!$B$5,IF('Saisie immeuble'!Q15=Ressources!$A$6,Ressources!$B$6,IF('Saisie immeuble'!Q15=Ressources!$A$7,Ressources!$B$7,IF('Saisie immeuble'!Q15=Ressources!$A$8,Ressources!$B$8,IF('Saisie immeuble'!Q15=Ressources!$A$9,Ressources!$B$9,IF('Saisie immeuble'!Q15=Ressources!$A$10,Ressources!$B$10,IF('Saisie immeuble'!Q15=Ressources!$A$11,Ressources!$B$11,0)))))))))</f>
        <v>0</v>
      </c>
      <c r="D28" s="32">
        <f>IF('Saisie immeuble'!R15=Ressources!$A$3,0,IF('Saisie immeuble'!R15=Ressources!$A$4,0,IF('Saisie immeuble'!R15=Ressources!$A$5,Ressources!$B$5,IF('Saisie immeuble'!R15=Ressources!$A$6,Ressources!$B$6,IF('Saisie immeuble'!R15=Ressources!$A$7,Ressources!$B$7,IF('Saisie immeuble'!R15=Ressources!$A$8,Ressources!$B$8,IF('Saisie immeuble'!R15=Ressources!$A$9,Ressources!$B$9,IF('Saisie immeuble'!R15=Ressources!$A$10,Ressources!$B$10,IF('Saisie immeuble'!R15=Ressources!$A$11,Ressources!$B$11,0)))))))))</f>
        <v>0</v>
      </c>
      <c r="E28" s="252">
        <f t="shared" si="0"/>
        <v>0</v>
      </c>
      <c r="F28" s="252">
        <f t="shared" si="1"/>
        <v>0</v>
      </c>
      <c r="G28" s="252">
        <f>IF('Cheque Energie'!F28&lt;'Cheque Energie'!$B$7,IF('Cheque Energie'!B28=1,'Cheque Energie'!$B$8,IF('Cheque Energie'!B28&lt;2,'Cheque Energie'!$B$9,IF('Cheque Energie'!B28&gt;2,'Cheque Energie'!$B$10,0))),IF('Cheque Energie'!F28&lt;'Cheque Energie'!$C$7,IF('Cheque Energie'!B28=1,'Cheque Energie'!$C$8,IF('Cheque Energie'!B28&lt;2,'Cheque Energie'!$C$9,IF('Cheque Energie'!B28&gt;2,'Cheque Energie'!$C$10,0))),IF('Cheque Energie'!F28&lt;'Cheque Energie'!$D$7,IF('Cheque Energie'!B28=1,'Cheque Energie'!$D$8,IF('Cheque Energie'!B28&lt;2,'Cheque Energie'!$D$9,IF('Cheque Energie'!B28&gt;2,'Cheque Energie'!$D$10,0))),IF('Cheque Energie'!F28&lt;'Cheque Energie'!$E$7,IF('Cheque Energie'!B28=1,'Cheque Energie'!$E$8,IF('Cheque Energie'!B28&lt;2,'Cheque Energie'!$E$9,IF('Cheque Energie'!B28&gt;2,'Cheque Energie'!$E$10,0))),0))))</f>
        <v>194</v>
      </c>
    </row>
    <row r="29" spans="1:7" x14ac:dyDescent="0.25">
      <c r="A29" s="253" t="str">
        <f>'Saisie immeuble'!A16</f>
        <v>Logement 6</v>
      </c>
      <c r="B29" s="250">
        <f>IF(('Saisie immeuble'!I16+'Saisie immeuble'!J16)=1,1,IF('Saisie immeuble'!I16+'Saisie immeuble'!J16=2,1.5,IF(('Saisie immeuble'!I16+'Saisie immeuble'!J16)&gt;2,1.5+('Saisie immeuble'!I16+'Saisie immeuble'!J16-2)*0.3,0)))</f>
        <v>1.5</v>
      </c>
      <c r="C29" s="32">
        <f>IF('Saisie immeuble'!Q16=Ressources!$A$3,0,IF('Saisie immeuble'!Q16=Ressources!$A$4,0,IF('Saisie immeuble'!Q16=Ressources!$A$5,Ressources!$B$5,IF('Saisie immeuble'!Q16=Ressources!$A$6,Ressources!$B$6,IF('Saisie immeuble'!Q16=Ressources!$A$7,Ressources!$B$7,IF('Saisie immeuble'!Q16=Ressources!$A$8,Ressources!$B$8,IF('Saisie immeuble'!Q16=Ressources!$A$9,Ressources!$B$9,IF('Saisie immeuble'!Q16=Ressources!$A$10,Ressources!$B$10,IF('Saisie immeuble'!Q16=Ressources!$A$11,Ressources!$B$11,0)))))))))</f>
        <v>1041</v>
      </c>
      <c r="D29" s="32">
        <f>IF('Saisie immeuble'!R16=Ressources!$A$3,0,IF('Saisie immeuble'!R16=Ressources!$A$4,0,IF('Saisie immeuble'!R16=Ressources!$A$5,Ressources!$B$5,IF('Saisie immeuble'!R16=Ressources!$A$6,Ressources!$B$6,IF('Saisie immeuble'!R16=Ressources!$A$7,Ressources!$B$7,IF('Saisie immeuble'!R16=Ressources!$A$8,Ressources!$B$8,IF('Saisie immeuble'!R16=Ressources!$A$9,Ressources!$B$9,IF('Saisie immeuble'!R16=Ressources!$A$10,Ressources!$B$10,IF('Saisie immeuble'!R16=Ressources!$A$11,Ressources!$B$11,0)))))))))</f>
        <v>0</v>
      </c>
      <c r="E29" s="252">
        <f t="shared" si="0"/>
        <v>11242.8</v>
      </c>
      <c r="F29" s="252">
        <f t="shared" si="1"/>
        <v>7495.2</v>
      </c>
      <c r="G29" s="252">
        <f>IF('Cheque Energie'!F29&lt;'Cheque Energie'!$B$7,IF('Cheque Energie'!B29=1,'Cheque Energie'!$B$8,IF('Cheque Energie'!B29&lt;2,'Cheque Energie'!$B$9,IF('Cheque Energie'!B29&gt;2,'Cheque Energie'!$B$10,0))),IF('Cheque Energie'!F29&lt;'Cheque Energie'!$C$7,IF('Cheque Energie'!B29=1,'Cheque Energie'!$C$8,IF('Cheque Energie'!B29&lt;2,'Cheque Energie'!$C$9,IF('Cheque Energie'!B29&gt;2,'Cheque Energie'!$C$10,0))),IF('Cheque Energie'!F29&lt;'Cheque Energie'!$D$7,IF('Cheque Energie'!B29=1,'Cheque Energie'!$D$8,IF('Cheque Energie'!B29&lt;2,'Cheque Energie'!$D$9,IF('Cheque Energie'!B29&gt;2,'Cheque Energie'!$D$10,0))),IF('Cheque Energie'!F29&lt;'Cheque Energie'!$E$7,IF('Cheque Energie'!B29=1,'Cheque Energie'!$E$8,IF('Cheque Energie'!B29&lt;2,'Cheque Energie'!$E$9,IF('Cheque Energie'!B29&gt;2,'Cheque Energie'!$E$10,0))),0))))</f>
        <v>113</v>
      </c>
    </row>
    <row r="30" spans="1:7" x14ac:dyDescent="0.25">
      <c r="A30" s="253" t="str">
        <f>'Saisie immeuble'!A17</f>
        <v>Logement 7</v>
      </c>
      <c r="B30" s="250">
        <f>IF(('Saisie immeuble'!I17+'Saisie immeuble'!J17)=1,1,IF('Saisie immeuble'!I17+'Saisie immeuble'!J17=2,1.5,IF(('Saisie immeuble'!I17+'Saisie immeuble'!J17)&gt;2,1.5+('Saisie immeuble'!I17+'Saisie immeuble'!J17-2)*0.3,0)))</f>
        <v>1.5</v>
      </c>
      <c r="C30" s="32">
        <f>IF('Saisie immeuble'!Q17=Ressources!$A$3,0,IF('Saisie immeuble'!Q17=Ressources!$A$4,0,IF('Saisie immeuble'!Q17=Ressources!$A$5,Ressources!$B$5,IF('Saisie immeuble'!Q17=Ressources!$A$6,Ressources!$B$6,IF('Saisie immeuble'!Q17=Ressources!$A$7,Ressources!$B$7,IF('Saisie immeuble'!Q17=Ressources!$A$8,Ressources!$B$8,IF('Saisie immeuble'!Q17=Ressources!$A$9,Ressources!$B$9,IF('Saisie immeuble'!Q17=Ressources!$A$10,Ressources!$B$10,IF('Saisie immeuble'!Q17=Ressources!$A$11,Ressources!$B$11,0)))))))))</f>
        <v>0</v>
      </c>
      <c r="D30" s="32">
        <f>IF('Saisie immeuble'!R17=Ressources!$A$3,0,IF('Saisie immeuble'!R17=Ressources!$A$4,0,IF('Saisie immeuble'!R17=Ressources!$A$5,Ressources!$B$5,IF('Saisie immeuble'!R17=Ressources!$A$6,Ressources!$B$6,IF('Saisie immeuble'!R17=Ressources!$A$7,Ressources!$B$7,IF('Saisie immeuble'!R17=Ressources!$A$8,Ressources!$B$8,IF('Saisie immeuble'!R17=Ressources!$A$9,Ressources!$B$9,IF('Saisie immeuble'!R17=Ressources!$A$10,Ressources!$B$10,IF('Saisie immeuble'!R17=Ressources!$A$11,Ressources!$B$11,0)))))))))</f>
        <v>0</v>
      </c>
      <c r="E30" s="252">
        <f t="shared" si="0"/>
        <v>0</v>
      </c>
      <c r="F30" s="252">
        <f t="shared" si="1"/>
        <v>0</v>
      </c>
      <c r="G30" s="252">
        <f>IF('Cheque Energie'!F30&lt;'Cheque Energie'!$B$7,IF('Cheque Energie'!B30=1,'Cheque Energie'!$B$8,IF('Cheque Energie'!B30&lt;2,'Cheque Energie'!$B$9,IF('Cheque Energie'!B30&gt;2,'Cheque Energie'!$B$10,0))),IF('Cheque Energie'!F30&lt;'Cheque Energie'!$C$7,IF('Cheque Energie'!B30=1,'Cheque Energie'!$C$8,IF('Cheque Energie'!B30&lt;2,'Cheque Energie'!$C$9,IF('Cheque Energie'!B30&gt;2,'Cheque Energie'!$C$10,0))),IF('Cheque Energie'!F30&lt;'Cheque Energie'!$D$7,IF('Cheque Energie'!B30=1,'Cheque Energie'!$D$8,IF('Cheque Energie'!B30&lt;2,'Cheque Energie'!$D$9,IF('Cheque Energie'!B30&gt;2,'Cheque Energie'!$D$10,0))),IF('Cheque Energie'!F30&lt;'Cheque Energie'!$E$7,IF('Cheque Energie'!B30=1,'Cheque Energie'!$E$8,IF('Cheque Energie'!B30&lt;2,'Cheque Energie'!$E$9,IF('Cheque Energie'!B30&gt;2,'Cheque Energie'!$E$10,0))),0))))</f>
        <v>240</v>
      </c>
    </row>
    <row r="31" spans="1:7" x14ac:dyDescent="0.25">
      <c r="A31" s="253" t="str">
        <f>'Saisie immeuble'!A18</f>
        <v>Logement 8</v>
      </c>
      <c r="B31" s="250">
        <f>IF(('Saisie immeuble'!I18+'Saisie immeuble'!J18)=1,1,IF('Saisie immeuble'!I18+'Saisie immeuble'!J18=2,1.5,IF(('Saisie immeuble'!I18+'Saisie immeuble'!J18)&gt;2,1.5+('Saisie immeuble'!I18+'Saisie immeuble'!J18-2)*0.3,0)))</f>
        <v>0</v>
      </c>
      <c r="C31" s="32">
        <f>IF('Saisie immeuble'!Q18=Ressources!$A$3,0,IF('Saisie immeuble'!Q18=Ressources!$A$4,0,IF('Saisie immeuble'!Q18=Ressources!$A$5,Ressources!$B$5,IF('Saisie immeuble'!Q18=Ressources!$A$6,Ressources!$B$6,IF('Saisie immeuble'!Q18=Ressources!$A$7,Ressources!$B$7,IF('Saisie immeuble'!Q18=Ressources!$A$8,Ressources!$B$8,IF('Saisie immeuble'!Q18=Ressources!$A$9,Ressources!$B$9,IF('Saisie immeuble'!Q18=Ressources!$A$10,Ressources!$B$10,IF('Saisie immeuble'!Q18=Ressources!$A$11,Ressources!$B$11,0)))))))))</f>
        <v>0</v>
      </c>
      <c r="D31" s="32">
        <f>IF('Saisie immeuble'!R18=Ressources!$A$3,0,IF('Saisie immeuble'!R18=Ressources!$A$4,0,IF('Saisie immeuble'!R18=Ressources!$A$5,Ressources!$B$5,IF('Saisie immeuble'!R18=Ressources!$A$6,Ressources!$B$6,IF('Saisie immeuble'!R18=Ressources!$A$7,Ressources!$B$7,IF('Saisie immeuble'!R18=Ressources!$A$8,Ressources!$B$8,IF('Saisie immeuble'!R18=Ressources!$A$9,Ressources!$B$9,IF('Saisie immeuble'!R18=Ressources!$A$10,Ressources!$B$10,IF('Saisie immeuble'!R18=Ressources!$A$11,Ressources!$B$11,0)))))))))</f>
        <v>0</v>
      </c>
      <c r="E31" s="252">
        <f t="shared" si="0"/>
        <v>0</v>
      </c>
      <c r="F31" s="252" t="e">
        <f t="shared" si="1"/>
        <v>#DIV/0!</v>
      </c>
      <c r="G31" s="252" t="e">
        <f>IF('Cheque Energie'!F31&lt;'Cheque Energie'!$B$7,IF('Cheque Energie'!B31=1,'Cheque Energie'!$B$8,IF('Cheque Energie'!B31&lt;2,'Cheque Energie'!$B$9,IF('Cheque Energie'!B31&gt;2,'Cheque Energie'!$B$10,0))),IF('Cheque Energie'!F31&lt;'Cheque Energie'!$C$7,IF('Cheque Energie'!B31=1,'Cheque Energie'!$C$8,IF('Cheque Energie'!B31&lt;2,'Cheque Energie'!$C$9,IF('Cheque Energie'!B31&gt;2,'Cheque Energie'!$C$10,0))),IF('Cheque Energie'!F31&lt;'Cheque Energie'!$D$7,IF('Cheque Energie'!B31=1,'Cheque Energie'!$D$8,IF('Cheque Energie'!B31&lt;2,'Cheque Energie'!$D$9,IF('Cheque Energie'!B31&gt;2,'Cheque Energie'!$D$10,0))),IF('Cheque Energie'!F31&lt;'Cheque Energie'!$E$7,IF('Cheque Energie'!B31=1,'Cheque Energie'!$E$8,IF('Cheque Energie'!B31&lt;2,'Cheque Energie'!$E$9,IF('Cheque Energie'!B31&gt;2,'Cheque Energie'!$E$10,0))),0))))</f>
        <v>#DIV/0!</v>
      </c>
    </row>
    <row r="32" spans="1:7" x14ac:dyDescent="0.25">
      <c r="A32" s="253" t="str">
        <f>'Saisie immeuble'!A19</f>
        <v>Logement 9</v>
      </c>
      <c r="B32" s="250">
        <f>IF(('Saisie immeuble'!I19+'Saisie immeuble'!J19)=1,1,IF('Saisie immeuble'!I19+'Saisie immeuble'!J19=2,1.5,IF(('Saisie immeuble'!I19+'Saisie immeuble'!J19)&gt;2,1.5+('Saisie immeuble'!I19+'Saisie immeuble'!J19-2)*0.3,0)))</f>
        <v>0</v>
      </c>
      <c r="C32" s="32">
        <f>IF('Saisie immeuble'!Q19=Ressources!$A$3,0,IF('Saisie immeuble'!Q19=Ressources!$A$4,0,IF('Saisie immeuble'!Q19=Ressources!$A$5,Ressources!$B$5,IF('Saisie immeuble'!Q19=Ressources!$A$6,Ressources!$B$6,IF('Saisie immeuble'!Q19=Ressources!$A$7,Ressources!$B$7,IF('Saisie immeuble'!Q19=Ressources!$A$8,Ressources!$B$8,IF('Saisie immeuble'!Q19=Ressources!$A$9,Ressources!$B$9,IF('Saisie immeuble'!Q19=Ressources!$A$10,Ressources!$B$10,IF('Saisie immeuble'!Q19=Ressources!$A$11,Ressources!$B$11,0)))))))))</f>
        <v>0</v>
      </c>
      <c r="D32" s="252">
        <f>IF('Saisie immeuble'!R19=Ressources!$A$3,0,IF('Saisie immeuble'!R19=Ressources!$A$4,0,IF('Saisie immeuble'!R19=Ressources!$A$5,Ressources!$B$5,IF('Saisie immeuble'!R19=Ressources!$A$6,Ressources!$B$6,IF('Saisie immeuble'!R19=Ressources!$A$7,Ressources!$B$7,IF('Saisie immeuble'!R19=Ressources!$A$8,Ressources!$B$8,IF('Saisie immeuble'!R19=Ressources!$A$9,Ressources!$B$9,IF('Saisie immeuble'!R19=Ressources!$A$10,Ressources!$B$10,IF('Saisie immeuble'!R19=Ressources!$A$11,Ressources!$B$11,0)))))))))</f>
        <v>0</v>
      </c>
      <c r="E32" s="252">
        <f t="shared" si="0"/>
        <v>0</v>
      </c>
      <c r="F32" s="252" t="e">
        <f t="shared" si="1"/>
        <v>#DIV/0!</v>
      </c>
      <c r="G32" s="252" t="e">
        <f>IF('Cheque Energie'!F32&lt;'Cheque Energie'!$B$7,IF('Cheque Energie'!B32=1,'Cheque Energie'!$B$8,IF('Cheque Energie'!B32&lt;2,'Cheque Energie'!$B$9,IF('Cheque Energie'!B32&gt;2,'Cheque Energie'!$B$10,0))),IF('Cheque Energie'!F32&lt;'Cheque Energie'!$C$7,IF('Cheque Energie'!B32=1,'Cheque Energie'!$C$8,IF('Cheque Energie'!B32&lt;2,'Cheque Energie'!$C$9,IF('Cheque Energie'!B32&gt;2,'Cheque Energie'!$C$10,0))),IF('Cheque Energie'!F32&lt;'Cheque Energie'!$D$7,IF('Cheque Energie'!B32=1,'Cheque Energie'!$D$8,IF('Cheque Energie'!B32&lt;2,'Cheque Energie'!$D$9,IF('Cheque Energie'!B32&gt;2,'Cheque Energie'!$D$10,0))),IF('Cheque Energie'!F32&lt;'Cheque Energie'!$E$7,IF('Cheque Energie'!B32=1,'Cheque Energie'!$E$8,IF('Cheque Energie'!B32&lt;2,'Cheque Energie'!$E$9,IF('Cheque Energie'!B32&gt;2,'Cheque Energie'!$E$10,0))),0))))</f>
        <v>#DIV/0!</v>
      </c>
    </row>
    <row r="33" spans="1:7" x14ac:dyDescent="0.25">
      <c r="A33" s="253" t="str">
        <f>'Saisie immeuble'!A20</f>
        <v>Logement 10</v>
      </c>
      <c r="B33" s="250">
        <f>IF(('Saisie immeuble'!I20+'Saisie immeuble'!J20)=1,1,IF('Saisie immeuble'!I20+'Saisie immeuble'!J20=2,1.5,IF(('Saisie immeuble'!I20+'Saisie immeuble'!J20)&gt;2,1.5+('Saisie immeuble'!I20+'Saisie immeuble'!J20-2)*0.3,0)))</f>
        <v>0</v>
      </c>
      <c r="C33" s="254">
        <f>IF('Saisie immeuble'!Q20=Ressources!$A$3,0,IF('Saisie immeuble'!Q20=Ressources!$A$4,0,IF('Saisie immeuble'!Q20=Ressources!$A$5,Ressources!$B$5,IF('Saisie immeuble'!Q20=Ressources!$A$6,Ressources!$B$6,IF('Saisie immeuble'!Q20=Ressources!$A$7,Ressources!$B$7,IF('Saisie immeuble'!Q20=Ressources!$A$8,Ressources!$B$8,IF('Saisie immeuble'!Q20=Ressources!$A$9,Ressources!$B$9,IF('Saisie immeuble'!Q20=Ressources!$A$10,Ressources!$B$10,IF('Saisie immeuble'!Q20=Ressources!$A$11,Ressources!$B$11,0)))))))))</f>
        <v>0</v>
      </c>
      <c r="D33" s="255">
        <f>IF('Saisie immeuble'!R20=Ressources!$A$3,0,IF('Saisie immeuble'!R20=Ressources!$A$4,0,IF('Saisie immeuble'!R20=Ressources!$A$5,Ressources!$B$5,IF('Saisie immeuble'!R20=Ressources!$A$6,Ressources!$B$6,IF('Saisie immeuble'!R20=Ressources!$A$7,Ressources!$B$7,IF('Saisie immeuble'!R20=Ressources!$A$8,Ressources!$B$8,IF('Saisie immeuble'!R20=Ressources!$A$9,Ressources!$B$9,IF('Saisie immeuble'!R20=Ressources!$A$10,Ressources!$B$10,IF('Saisie immeuble'!R20=Ressources!$A$11,Ressources!$B$11,0)))))))))</f>
        <v>0</v>
      </c>
      <c r="E33" s="255">
        <f t="shared" si="0"/>
        <v>0</v>
      </c>
      <c r="F33" s="255" t="e">
        <f t="shared" si="1"/>
        <v>#DIV/0!</v>
      </c>
      <c r="G33" s="255" t="e">
        <f>IF('Cheque Energie'!F33&lt;'Cheque Energie'!$B$7,IF('Cheque Energie'!B33=1,'Cheque Energie'!$B$8,IF('Cheque Energie'!B33&lt;2,'Cheque Energie'!$B$9,IF('Cheque Energie'!B33&gt;2,'Cheque Energie'!$B$10,0))),IF('Cheque Energie'!F33&lt;'Cheque Energie'!$C$7,IF('Cheque Energie'!B33=1,'Cheque Energie'!$C$8,IF('Cheque Energie'!B33&lt;2,'Cheque Energie'!$C$9,IF('Cheque Energie'!B33&gt;2,'Cheque Energie'!$C$10,0))),IF('Cheque Energie'!F33&lt;'Cheque Energie'!$D$7,IF('Cheque Energie'!B33=1,'Cheque Energie'!$D$8,IF('Cheque Energie'!B33&lt;2,'Cheque Energie'!$D$9,IF('Cheque Energie'!B33&gt;2,'Cheque Energie'!$D$10,0))),IF('Cheque Energie'!F33&lt;'Cheque Energie'!$E$7,IF('Cheque Energie'!B33=1,'Cheque Energie'!$E$8,IF('Cheque Energie'!B33&lt;2,'Cheque Energie'!$E$9,IF('Cheque Energie'!B33&gt;2,'Cheque Energie'!$E$10,0))),0))))</f>
        <v>#DIV/0!</v>
      </c>
    </row>
  </sheetData>
  <mergeCells count="1">
    <mergeCell ref="B6:E6"/>
  </mergeCells>
  <hyperlinks>
    <hyperlink ref="A3" r:id="rId1"/>
  </hyperlinks>
  <pageMargins left="0.7" right="0.7" top="0.75" bottom="0.7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75" zoomScaleNormal="75" workbookViewId="0">
      <selection activeCell="L9" sqref="L9"/>
    </sheetView>
  </sheetViews>
  <sheetFormatPr baseColWidth="10" defaultColWidth="9.140625" defaultRowHeight="15" x14ac:dyDescent="0.25"/>
  <cols>
    <col min="1" max="1" width="18.5703125" customWidth="1"/>
    <col min="2" max="1025" width="10.7109375" customWidth="1"/>
  </cols>
  <sheetData>
    <row r="1" spans="1:10" x14ac:dyDescent="0.25">
      <c r="A1" s="93" t="s">
        <v>70</v>
      </c>
      <c r="B1" s="93" t="s">
        <v>449</v>
      </c>
      <c r="C1" s="21"/>
      <c r="D1" s="21"/>
      <c r="E1" s="21" t="s">
        <v>27</v>
      </c>
      <c r="F1" s="21"/>
      <c r="G1" s="21"/>
      <c r="H1" s="27" t="s">
        <v>450</v>
      </c>
      <c r="I1" s="21"/>
      <c r="J1" s="21"/>
    </row>
    <row r="2" spans="1:10" x14ac:dyDescent="0.25">
      <c r="A2" s="21"/>
      <c r="B2" s="21" t="s">
        <v>451</v>
      </c>
      <c r="C2" s="21" t="s">
        <v>452</v>
      </c>
      <c r="D2" s="21"/>
      <c r="E2" s="85" t="s">
        <v>23</v>
      </c>
      <c r="F2" s="85">
        <v>0</v>
      </c>
      <c r="G2" s="85">
        <v>1</v>
      </c>
      <c r="H2" s="85">
        <v>2</v>
      </c>
      <c r="I2" s="85">
        <v>3</v>
      </c>
      <c r="J2" s="85" t="s">
        <v>29</v>
      </c>
    </row>
    <row r="3" spans="1:10" x14ac:dyDescent="0.25">
      <c r="A3" s="21" t="s">
        <v>453</v>
      </c>
      <c r="B3" s="133">
        <v>0</v>
      </c>
      <c r="C3" s="133"/>
      <c r="D3" s="21"/>
      <c r="E3" s="85" t="str">
        <f>Accueil!A55</f>
        <v>Seul avec AL</v>
      </c>
      <c r="F3" s="125">
        <f>Accueil!B55</f>
        <v>497</v>
      </c>
      <c r="G3" s="125">
        <f>Accueil!C55</f>
        <v>712</v>
      </c>
      <c r="H3" s="125">
        <f>Accueil!D55</f>
        <v>849</v>
      </c>
      <c r="I3" s="125">
        <f>Accueil!E55</f>
        <v>1075</v>
      </c>
      <c r="J3" s="125">
        <f>Accueil!F55</f>
        <v>226</v>
      </c>
    </row>
    <row r="4" spans="1:10" x14ac:dyDescent="0.25">
      <c r="A4" s="21" t="s">
        <v>27</v>
      </c>
      <c r="B4" s="256">
        <f>IF(AND('Saisie maison'!Q13&lt;&gt;"RSA socle",'Saisie maison'!P13="RSA socle"),IF(('Saisie maison'!H13+'Saisie maison'!I13)&gt;4,Ressources!I3+Ressources!J3*(('Saisie maison'!H13+'Saisie maison'!I13)-4),IF(('Saisie maison'!H13+'Saisie maison'!I13)=1,Ressources!F3,IF(('Saisie maison'!H13+'Saisie maison'!I13)=2,Ressources!G3,IF(('Saisie maison'!H13+'Saisie maison'!I13)=3,Ressources!H3,IF(('Saisie maison'!H13+'Saisie maison'!I13)=4,Ressources!I3,0))))),0)</f>
        <v>0</v>
      </c>
      <c r="C4" s="256" t="b">
        <f>IF(AND('Saisie maison'!Q13="RSA socle",'Saisie maison'!P13="RSA socle"),IF(('Saisie maison'!H13+'Saisie maison'!I13)&gt;5,Ressources!I4+Ressources!J4*(('Saisie maison'!H13+'Saisie maison'!I13)-5),IF(('Saisie maison'!H13+'Saisie maison'!I13)=2,Ressources!F4,IF(('Saisie maison'!H13+'Saisie maison'!I13)=3,Ressources!G4,IF(('Saisie maison'!H13+'Saisie maison'!I13)=4,Ressources!H4,IF(('Saisie maison'!H13+'Saisie maison'!I13)=5,Ressources!I4,0))))), IF(AND('Saisie maison'!Q13="RSA socle",'Saisie maison'!P13&lt;&gt;"RSA socle"),IF(('Saisie maison'!H13+'Saisie maison'!I13)&gt;4,Ressources!I3+Ressources!J3*(('Saisie maison'!H13+'Saisie maison'!I13)-4),IF(('Saisie maison'!H13+'Saisie maison'!I13)=1,Ressources!F3,IF(('Saisie maison'!H13+'Saisie maison'!I13)=2,Ressources!G3,IF(('Saisie maison'!H13+'Saisie maison'!I13)=3,Ressources!H3,IF(('Saisie maison'!H13+'Saisie maison'!I13)=4,Ressources!I3,0)))))))</f>
        <v>0</v>
      </c>
      <c r="D4" s="21"/>
      <c r="E4" s="125" t="str">
        <f>Accueil!A56</f>
        <v>Couple avec AL</v>
      </c>
      <c r="F4" s="125">
        <f>Accueil!B56</f>
        <v>712</v>
      </c>
      <c r="G4" s="125">
        <f>Accueil!C56</f>
        <v>849</v>
      </c>
      <c r="H4" s="125">
        <f>Accueil!D56</f>
        <v>1018</v>
      </c>
      <c r="I4" s="125">
        <f>Accueil!E56</f>
        <v>1244</v>
      </c>
      <c r="J4" s="125">
        <f>Accueil!F56</f>
        <v>226</v>
      </c>
    </row>
    <row r="5" spans="1:10" x14ac:dyDescent="0.25">
      <c r="A5" s="21" t="s">
        <v>21</v>
      </c>
      <c r="B5" s="256">
        <f>IF('Saisie maison'!H13+'Saisie maison'!I13=1,Ressources!$F$8,IF('Saisie maison'!H13+'Saisie maison'!I13=2,Ressources!$G$8,IF('Saisie maison'!H13+'Saisie maison'!I13=3,Ressources!$H$8,IF('Saisie maison'!H13+'Saisie maison'!I13&gt;3,$H$8+('Saisie maison'!H13+'Saisie maison'!I13-3)*Ressources!$I$8,0))))</f>
        <v>1041</v>
      </c>
      <c r="C5" s="256" t="s">
        <v>454</v>
      </c>
      <c r="D5" s="21"/>
      <c r="E5" s="21"/>
      <c r="F5" s="21"/>
      <c r="G5" s="21"/>
      <c r="H5" s="21"/>
      <c r="I5" s="21"/>
      <c r="J5" s="21"/>
    </row>
    <row r="6" spans="1:10" x14ac:dyDescent="0.25">
      <c r="A6" s="21" t="s">
        <v>34</v>
      </c>
      <c r="B6" s="133">
        <f>F20</f>
        <v>902.7</v>
      </c>
      <c r="C6" s="133"/>
      <c r="D6" s="21"/>
      <c r="E6" s="21" t="s">
        <v>21</v>
      </c>
      <c r="F6" s="21"/>
      <c r="G6" s="21"/>
      <c r="H6" s="21"/>
      <c r="I6" s="21"/>
      <c r="J6" s="21"/>
    </row>
    <row r="7" spans="1:10" x14ac:dyDescent="0.25">
      <c r="A7" s="22" t="s">
        <v>22</v>
      </c>
      <c r="B7" s="133">
        <f>F16</f>
        <v>903.2</v>
      </c>
      <c r="C7" s="133"/>
      <c r="D7" s="21"/>
      <c r="E7" s="85" t="s">
        <v>23</v>
      </c>
      <c r="F7" s="85">
        <v>0</v>
      </c>
      <c r="G7" s="85">
        <v>1</v>
      </c>
      <c r="H7" s="85">
        <v>2</v>
      </c>
      <c r="I7" s="85" t="s">
        <v>24</v>
      </c>
      <c r="J7" s="21"/>
    </row>
    <row r="8" spans="1:10" ht="30" x14ac:dyDescent="0.25">
      <c r="A8" s="22" t="s">
        <v>455</v>
      </c>
      <c r="B8" s="133">
        <v>1227.3900000000001</v>
      </c>
      <c r="C8" s="133"/>
      <c r="D8" s="21"/>
      <c r="E8" s="125" t="str">
        <f>Accueil!A51</f>
        <v>Seul + enf av AL</v>
      </c>
      <c r="F8" s="85">
        <f>Accueil!B51</f>
        <v>665</v>
      </c>
      <c r="G8" s="125">
        <f>Accueil!C51</f>
        <v>831</v>
      </c>
      <c r="H8" s="125">
        <f>Accueil!D51</f>
        <v>1041</v>
      </c>
      <c r="I8" s="125">
        <f>Accueil!E51</f>
        <v>242</v>
      </c>
      <c r="J8" s="21"/>
    </row>
    <row r="9" spans="1:10" ht="30" x14ac:dyDescent="0.25">
      <c r="A9" s="22" t="s">
        <v>456</v>
      </c>
      <c r="B9" s="133">
        <v>300</v>
      </c>
      <c r="C9" s="133"/>
      <c r="D9" s="21"/>
      <c r="E9" s="21"/>
      <c r="F9" s="21"/>
      <c r="G9" s="21"/>
      <c r="H9" s="21"/>
      <c r="I9" s="21"/>
      <c r="J9" s="21"/>
    </row>
    <row r="10" spans="1:10" ht="30" x14ac:dyDescent="0.25">
      <c r="A10" s="22" t="s">
        <v>360</v>
      </c>
      <c r="B10" s="133">
        <v>650</v>
      </c>
      <c r="C10" s="133"/>
      <c r="D10" s="21"/>
      <c r="E10" s="21" t="s">
        <v>457</v>
      </c>
      <c r="F10" s="21"/>
      <c r="G10" s="21"/>
      <c r="H10" s="21" t="s">
        <v>458</v>
      </c>
      <c r="I10" s="21"/>
      <c r="J10" s="21"/>
    </row>
    <row r="11" spans="1:10" ht="30" x14ac:dyDescent="0.25">
      <c r="A11" s="22" t="s">
        <v>459</v>
      </c>
      <c r="B11" s="133">
        <v>900</v>
      </c>
      <c r="C11" s="133"/>
      <c r="D11" s="21"/>
      <c r="E11" s="85" t="s">
        <v>23</v>
      </c>
      <c r="F11" s="85">
        <v>2</v>
      </c>
      <c r="G11" s="85">
        <v>3</v>
      </c>
      <c r="H11" s="85">
        <v>4</v>
      </c>
      <c r="I11" s="85" t="s">
        <v>30</v>
      </c>
      <c r="J11" s="27" t="s">
        <v>460</v>
      </c>
    </row>
    <row r="12" spans="1:10" x14ac:dyDescent="0.25">
      <c r="A12" s="93"/>
      <c r="B12" s="93"/>
      <c r="C12" s="21"/>
      <c r="D12" s="21"/>
      <c r="E12" s="85" t="s">
        <v>31</v>
      </c>
      <c r="F12" s="85">
        <v>131.55000000000001</v>
      </c>
      <c r="G12" s="85">
        <v>300.10000000000002</v>
      </c>
      <c r="H12" s="85">
        <v>468.66</v>
      </c>
      <c r="I12" s="85">
        <v>168.56</v>
      </c>
      <c r="J12" s="21"/>
    </row>
    <row r="13" spans="1:10" x14ac:dyDescent="0.25">
      <c r="A13" s="93"/>
      <c r="B13" s="93"/>
      <c r="C13" s="21"/>
      <c r="D13" s="21"/>
      <c r="E13" s="85" t="s">
        <v>32</v>
      </c>
      <c r="F13" s="85">
        <v>65.78</v>
      </c>
      <c r="G13" s="85">
        <v>65.78</v>
      </c>
      <c r="H13" s="85">
        <v>65.78</v>
      </c>
      <c r="I13" s="85">
        <v>65.78</v>
      </c>
      <c r="J13" s="21"/>
    </row>
    <row r="14" spans="1:10" x14ac:dyDescent="0.25">
      <c r="A14" s="93"/>
      <c r="B14" s="93"/>
      <c r="C14" s="21"/>
      <c r="D14" s="21"/>
      <c r="E14" s="21"/>
      <c r="F14" s="21"/>
      <c r="G14" s="21"/>
      <c r="H14" s="21"/>
      <c r="I14" s="21"/>
      <c r="J14" s="21"/>
    </row>
    <row r="15" spans="1:10" x14ac:dyDescent="0.25">
      <c r="A15" s="93"/>
      <c r="B15" s="93"/>
      <c r="C15" s="21"/>
      <c r="D15" s="21"/>
      <c r="E15" s="21" t="s">
        <v>22</v>
      </c>
      <c r="F15" s="21"/>
      <c r="G15" s="21"/>
      <c r="H15" s="21"/>
      <c r="I15" s="21"/>
      <c r="J15" s="21"/>
    </row>
    <row r="16" spans="1:10" x14ac:dyDescent="0.25">
      <c r="A16" s="93"/>
      <c r="B16" s="93"/>
      <c r="C16" s="21"/>
      <c r="D16" s="21"/>
      <c r="E16" s="85" t="s">
        <v>25</v>
      </c>
      <c r="F16" s="85">
        <v>903.2</v>
      </c>
      <c r="G16" s="27" t="s">
        <v>461</v>
      </c>
      <c r="H16" s="21"/>
      <c r="I16" s="21"/>
      <c r="J16" s="21"/>
    </row>
    <row r="17" spans="1:10" x14ac:dyDescent="0.25">
      <c r="A17" s="93"/>
      <c r="B17" s="93"/>
      <c r="C17" s="21"/>
      <c r="D17" s="21"/>
      <c r="E17" s="85" t="s">
        <v>26</v>
      </c>
      <c r="F17" s="85">
        <v>1402.22</v>
      </c>
      <c r="G17" s="21"/>
      <c r="H17" s="21"/>
      <c r="I17" s="21"/>
      <c r="J17" s="21"/>
    </row>
    <row r="19" spans="1:10" x14ac:dyDescent="0.25">
      <c r="E19" s="171" t="s">
        <v>462</v>
      </c>
      <c r="G19" s="29" t="s">
        <v>463</v>
      </c>
    </row>
    <row r="20" spans="1:10" x14ac:dyDescent="0.25">
      <c r="E20" s="85" t="s">
        <v>25</v>
      </c>
      <c r="F20" s="85">
        <v>902.7</v>
      </c>
    </row>
  </sheetData>
  <hyperlinks>
    <hyperlink ref="H1" r:id="rId1"/>
    <hyperlink ref="J11" r:id="rId2"/>
    <hyperlink ref="G16" r:id="rId3"/>
    <hyperlink ref="G19" r:id="rId4"/>
  </hyperlink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19</vt:i4>
      </vt:variant>
    </vt:vector>
  </HeadingPairs>
  <TitlesOfParts>
    <vt:vector size="30" baseType="lpstr">
      <vt:lpstr>Accueil</vt:lpstr>
      <vt:lpstr>Saisie maison</vt:lpstr>
      <vt:lpstr>Résultat maison</vt:lpstr>
      <vt:lpstr>élts calculs lgt ind</vt:lpstr>
      <vt:lpstr>Saisie immeuble</vt:lpstr>
      <vt:lpstr>Résultat immeuble</vt:lpstr>
      <vt:lpstr>Feuil1</vt:lpstr>
      <vt:lpstr>Cheque Energie</vt:lpstr>
      <vt:lpstr>Ressources</vt:lpstr>
      <vt:lpstr>Référence&amp;tarifs</vt:lpstr>
      <vt:lpstr>FAQ Excel</vt:lpstr>
      <vt:lpstr>annee</vt:lpstr>
      <vt:lpstr>cuisson</vt:lpstr>
      <vt:lpstr>cuisson2</vt:lpstr>
      <vt:lpstr>mitoyennete</vt:lpstr>
      <vt:lpstr>naturerevenu</vt:lpstr>
      <vt:lpstr>oui</vt:lpstr>
      <vt:lpstr>position</vt:lpstr>
      <vt:lpstr>typechauffage</vt:lpstr>
      <vt:lpstr>typedelogement</vt:lpstr>
      <vt:lpstr>typeecs</vt:lpstr>
      <vt:lpstr>typeiso</vt:lpstr>
      <vt:lpstr>typereno</vt:lpstr>
      <vt:lpstr>ventilation</vt:lpstr>
      <vt:lpstr>VILLE</vt:lpstr>
      <vt:lpstr>Accueil!Zone_d_impression</vt:lpstr>
      <vt:lpstr>'Résultat immeuble'!Zone_d_impression</vt:lpstr>
      <vt:lpstr>'Résultat maison'!Zone_d_impression</vt:lpstr>
      <vt:lpstr>'Saisie immeuble'!Zone_d_impression</vt:lpstr>
      <vt:lpstr>'Saisie maison'!Zone_d_impression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GARNIER</dc:creator>
  <dc:description/>
  <cp:lastModifiedBy>gefosatab</cp:lastModifiedBy>
  <cp:revision>1</cp:revision>
  <cp:lastPrinted>2020-01-30T08:15:02Z</cp:lastPrinted>
  <dcterms:created xsi:type="dcterms:W3CDTF">2012-09-17T11:38:36Z</dcterms:created>
  <dcterms:modified xsi:type="dcterms:W3CDTF">2020-11-17T10:58:13Z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